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ap P&amp;L PLANNED" sheetId="1" r:id="rId4"/>
    <sheet state="visible" name="Assumptions" sheetId="2" r:id="rId5"/>
    <sheet state="visible" name="Cash Flow" sheetId="3" r:id="rId6"/>
    <sheet state="visible" name="Staff Expenses" sheetId="4" r:id="rId7"/>
    <sheet state="visible" name="Marketing" sheetId="5" r:id="rId8"/>
  </sheets>
  <definedNames/>
  <calcPr/>
  <extLst>
    <ext uri="GoogleSheetsCustomDataVersion2">
      <go:sheetsCustomData xmlns:go="http://customooxmlschemas.google.com/" r:id="rId9" roundtripDataChecksum="6HKD3Mj7kANPxzPbYPRoqelqguGJjkgOKe2k8leY0Rg="/>
    </ext>
  </extLst>
</workbook>
</file>

<file path=xl/sharedStrings.xml><?xml version="1.0" encoding="utf-8"?>
<sst xmlns="http://schemas.openxmlformats.org/spreadsheetml/2006/main" count="268" uniqueCount="188">
  <si>
    <t>Financial forecast for 2022-2027 Planned</t>
  </si>
  <si>
    <t>ROADMAP</t>
  </si>
  <si>
    <t>Manufacture &amp; Pre-orders</t>
  </si>
  <si>
    <t>Start sales in Poland</t>
  </si>
  <si>
    <t>Start sales in Canada</t>
  </si>
  <si>
    <t>Start sales in Japan</t>
  </si>
  <si>
    <t xml:space="preserve">Sales improvement </t>
  </si>
  <si>
    <t>2022-2023</t>
  </si>
  <si>
    <t>MARGIN COSTS, $</t>
  </si>
  <si>
    <t>Total $</t>
  </si>
  <si>
    <t>Amount</t>
  </si>
  <si>
    <t>Quantity</t>
  </si>
  <si>
    <t>Salary support-production engeneer</t>
  </si>
  <si>
    <t>Salary manager</t>
  </si>
  <si>
    <t>Salary trainer</t>
  </si>
  <si>
    <t>Manufacture equipment costs COGS</t>
  </si>
  <si>
    <t>Marketing and ads costs per unit</t>
  </si>
  <si>
    <t>Nanit production cost COGS</t>
  </si>
  <si>
    <t>Video books production COGS</t>
  </si>
  <si>
    <t>LAb rent and internet</t>
  </si>
  <si>
    <t>Total</t>
  </si>
  <si>
    <t>MARGIN REVENUE $</t>
  </si>
  <si>
    <t>Amount customers</t>
  </si>
  <si>
    <t>Courses for kids 5-9 online + Nanit</t>
  </si>
  <si>
    <t>Nanit (just robot itself)</t>
  </si>
  <si>
    <t>Video tutorial books for age 5-9 + Nanit</t>
  </si>
  <si>
    <t>Courses for adults 10-14 online/offline + Nanit</t>
  </si>
  <si>
    <t>Video tutorial books for age 10-14 + Nanit</t>
  </si>
  <si>
    <t>Minifranchise education KIT</t>
  </si>
  <si>
    <t>Minifranchise yearly membership</t>
  </si>
  <si>
    <t>EBIDTA</t>
  </si>
  <si>
    <t>Income tax average (20%)</t>
  </si>
  <si>
    <t>Total ROI</t>
  </si>
  <si>
    <t>Net Income</t>
  </si>
  <si>
    <t>Break even point in years</t>
  </si>
  <si>
    <t>Calculating data</t>
  </si>
  <si>
    <t>Kids 5-9 Courses membership $ per education year</t>
  </si>
  <si>
    <t>Nanit price $</t>
  </si>
  <si>
    <t>Average cost of sales per client</t>
  </si>
  <si>
    <t>Self-cost of video books production per one</t>
  </si>
  <si>
    <t>Average Nanit production cost</t>
  </si>
  <si>
    <t>Annual inflation index</t>
  </si>
  <si>
    <t>Annual cost reduction ratio%</t>
  </si>
  <si>
    <t>Sallary manager $  per year</t>
  </si>
  <si>
    <t>Salary trainer $  per year</t>
  </si>
  <si>
    <t>Salary support-production engeneer  $  per year</t>
  </si>
  <si>
    <t>Average price video book + Nanit per course $</t>
  </si>
  <si>
    <t>Minifranchise education KITt $</t>
  </si>
  <si>
    <t>Membership of minifranchise per year $</t>
  </si>
  <si>
    <t>Total investor ROI %</t>
  </si>
  <si>
    <t>Kids 10-14 Courses membership $ per education  year</t>
  </si>
  <si>
    <t>Additional data</t>
  </si>
  <si>
    <t>each trainer can train 100 students monthly</t>
  </si>
  <si>
    <t>each sales manager can administrate 100 students monthly</t>
  </si>
  <si>
    <t>education year is 10 month</t>
  </si>
  <si>
    <t>Comments</t>
  </si>
  <si>
    <t>Online education using zoom</t>
  </si>
  <si>
    <t>Retail/final price</t>
  </si>
  <si>
    <t>Distributor channel, distribution channel, direct sales, comission for afilates</t>
  </si>
  <si>
    <t xml:space="preserve">Total amount of total expances/total amount of producted Nanits </t>
  </si>
  <si>
    <t>Electronics, plastic body, case, assembling</t>
  </si>
  <si>
    <t>Cost depends on prodaction quantaty</t>
  </si>
  <si>
    <t>Sallary /sales $  per year</t>
  </si>
  <si>
    <t>Full-time or part-time, can be remotely</t>
  </si>
  <si>
    <t>Part-time, can be remotely</t>
  </si>
  <si>
    <t>Nanit itself + video book education</t>
  </si>
  <si>
    <t>Minifranchise education KIT $</t>
  </si>
  <si>
    <t xml:space="preserve">10 Nanit robokits </t>
  </si>
  <si>
    <t>Education sofware, education materials, tutorials</t>
  </si>
  <si>
    <t>Maximum capacity of students for 1 trainer</t>
  </si>
  <si>
    <t>Maximum capacity of students for 1 manager</t>
  </si>
  <si>
    <t>2 month in a year holidays, summerbreak</t>
  </si>
  <si>
    <t>FORECAST 1 year (2022)</t>
  </si>
  <si>
    <t>FORECAST 1 year (2023)</t>
  </si>
  <si>
    <t>FORECAST 1 year (2024)</t>
  </si>
  <si>
    <t>FORECAST 1 year (2025)</t>
  </si>
  <si>
    <t>FORECAST 1 year (2026)</t>
  </si>
  <si>
    <t>FORECAST 1 year (2027)</t>
  </si>
  <si>
    <t>May 2022</t>
  </si>
  <si>
    <t>June 2022</t>
  </si>
  <si>
    <t>July 2022</t>
  </si>
  <si>
    <t>Aug 2022</t>
  </si>
  <si>
    <t>Sep 2022</t>
  </si>
  <si>
    <t>Oct 2022</t>
  </si>
  <si>
    <t>Nov 2022</t>
  </si>
  <si>
    <t>Dec 2022</t>
  </si>
  <si>
    <t>TOTAL</t>
  </si>
  <si>
    <t>SUBTOTAL</t>
  </si>
  <si>
    <t>Jan 2023</t>
  </si>
  <si>
    <t>Feb 2023</t>
  </si>
  <si>
    <t>Mar 2023</t>
  </si>
  <si>
    <t>Apr 2023</t>
  </si>
  <si>
    <t>May 2023</t>
  </si>
  <si>
    <t>June 2023</t>
  </si>
  <si>
    <t>July 2023</t>
  </si>
  <si>
    <t>Aug 2023</t>
  </si>
  <si>
    <t>Sep 2023</t>
  </si>
  <si>
    <t>Oct 2023</t>
  </si>
  <si>
    <t>Nov 2023</t>
  </si>
  <si>
    <t>Dec 2023</t>
  </si>
  <si>
    <t>SUBTOTAL 2022-2023</t>
  </si>
  <si>
    <t>Jan 2024</t>
  </si>
  <si>
    <t>Feb 2024</t>
  </si>
  <si>
    <t>Mar 2024</t>
  </si>
  <si>
    <t>Apr 2024</t>
  </si>
  <si>
    <t>May 2024</t>
  </si>
  <si>
    <t>June 2024</t>
  </si>
  <si>
    <t>July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</si>
  <si>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</si>
  <si>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</si>
  <si>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</si>
  <si>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</si>
  <si>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</si>
  <si>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</si>
  <si>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</si>
  <si>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</si>
  <si>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</si>
  <si>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</si>
  <si>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June 2025</t>
  </si>
  <si>
    <t>July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</si>
  <si>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</si>
  <si>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</si>
  <si>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</si>
  <si>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</si>
  <si>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</si>
  <si>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</si>
  <si>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</si>
  <si>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</si>
  <si>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</si>
  <si>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</si>
  <si>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June 2026</t>
  </si>
  <si>
    <t>July 2026</t>
  </si>
  <si>
    <t>Aug 2026</t>
  </si>
  <si>
    <t>Sep 2026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</si>
  <si>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</si>
  <si>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</si>
  <si>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</si>
  <si>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</si>
  <si>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</si>
  <si>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</si>
  <si>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</si>
  <si>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</si>
  <si>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June 2027</t>
  </si>
  <si>
    <t>July 2027</t>
  </si>
  <si>
    <t>Aug 2027</t>
  </si>
  <si>
    <t>Sep 2027</t>
  </si>
  <si>
    <t>Oct 2027</t>
  </si>
  <si>
    <t>Nov 2027</t>
  </si>
  <si>
    <t>Dec 2027</t>
  </si>
  <si>
    <t>SUBTOTAL in 5 years</t>
  </si>
  <si>
    <t>Total Revenue</t>
  </si>
  <si>
    <t>start sales 
in Ukraine</t>
  </si>
  <si>
    <t xml:space="preserve">Start sales  in Poland </t>
  </si>
  <si>
    <t>FINANCING</t>
  </si>
  <si>
    <t>GOVERNMENT (USF) GRANTS</t>
  </si>
  <si>
    <t>BANKS</t>
  </si>
  <si>
    <t>EQUITY INVESTMENT</t>
  </si>
  <si>
    <t>PAYMENTS</t>
  </si>
  <si>
    <t xml:space="preserve">MARKETING </t>
  </si>
  <si>
    <t>GENERAL EXPENSES</t>
  </si>
  <si>
    <t>STAFF EXPENSES</t>
  </si>
  <si>
    <t>STRUCTURE EXPENSES</t>
  </si>
  <si>
    <t>PAYMENT FINANCING</t>
  </si>
  <si>
    <t>INCUBATION PROGRAM</t>
  </si>
  <si>
    <t>ENISA - INTERESTS</t>
  </si>
  <si>
    <t>ENISA - PRINCIPAL</t>
  </si>
  <si>
    <t>CAPITAL INCREASE</t>
  </si>
  <si>
    <t>TAXES</t>
  </si>
  <si>
    <t>VAT</t>
  </si>
  <si>
    <t>CORPORATE TAX</t>
  </si>
  <si>
    <t>TOTAL INCOME</t>
  </si>
  <si>
    <t>TOTAL PAYMENTS</t>
  </si>
  <si>
    <t>CASH FLOW</t>
  </si>
  <si>
    <t>ACCUMULATED</t>
  </si>
  <si>
    <t>Staff Expenses Plan</t>
  </si>
  <si>
    <t>Costs, $</t>
  </si>
  <si>
    <t>Sallary sales manager $  per year</t>
  </si>
  <si>
    <t>Aditional data</t>
  </si>
  <si>
    <t>each sales  manager can administrate 100 students monthly</t>
  </si>
  <si>
    <t>Marketing and ads costs PLANNED</t>
  </si>
  <si>
    <t>Activity</t>
  </si>
  <si>
    <t xml:space="preserve">
Targeted advertising on Instagram and Facebook, Google ADS</t>
  </si>
  <si>
    <t>Partnership with online stores, payment of commission</t>
  </si>
  <si>
    <t>Partnership with retail stores, payment of commission</t>
  </si>
  <si>
    <t>Advertising with bloggers</t>
  </si>
  <si>
    <t>Advertising integrations in YouTube and TikTok</t>
  </si>
  <si>
    <t>Total Budget $</t>
  </si>
  <si>
    <t>Number of leads received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</si>
</sst>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]#,##0.00"/>
    <numFmt numFmtId="165" formatCode="[$-C0A]mmm\-yy"/>
    <numFmt numFmtId="166" formatCode="#,##0.00_ ;[Red]\-#,##0.00\ "/>
  </numFmts>
  <fonts count="19">
    <font>
      <sz val="10.0"/>
      <color rgb="FF000000"/>
      <name val="Arial"/>
      <scheme val="minor"/>
    </font>
    <font>
      <sz val="11.0"/>
      <color rgb="FF000000"/>
      <name val="Comfortaa"/>
    </font>
    <font>
      <b/>
      <sz val="14.0"/>
      <color theme="1"/>
      <name val="Arial"/>
    </font>
    <font/>
    <font>
      <sz val="10.0"/>
      <color rgb="FF000000"/>
      <name val="Arial"/>
    </font>
    <font>
      <b/>
      <sz val="11.0"/>
      <color rgb="FF000000"/>
      <name val="Comfortaa"/>
    </font>
    <font>
      <b/>
      <sz val="12.0"/>
      <color theme="1"/>
      <name val="Comfortaa"/>
    </font>
    <font>
      <sz val="10.0"/>
      <color theme="1"/>
      <name val="Arial"/>
    </font>
    <font>
      <b/>
      <sz val="10.0"/>
      <color theme="1"/>
      <name val="Comfortaa"/>
    </font>
    <font>
      <b/>
      <sz val="10.0"/>
      <color rgb="FF000000"/>
      <name val="Arial"/>
    </font>
    <font>
      <sz val="12.0"/>
      <color theme="1"/>
      <name val="Arial"/>
    </font>
    <font>
      <b/>
      <sz val="11.0"/>
      <color theme="1"/>
      <name val="Comfortaa"/>
    </font>
    <font>
      <sz val="12.0"/>
      <color theme="1"/>
      <name val="Comfortaa"/>
    </font>
    <font>
      <sz val="11.0"/>
      <color theme="1"/>
      <name val="Comfortaa"/>
    </font>
    <font>
      <sz val="12.0"/>
      <color rgb="FF202124"/>
      <name val="Comfortaa"/>
    </font>
    <font>
      <sz val="11.0"/>
      <color rgb="FF202124"/>
      <name val="Comfortaa"/>
    </font>
    <font>
      <sz val="10.0"/>
      <color theme="1"/>
      <name val="Comfortaa"/>
    </font>
    <font>
      <b/>
      <sz val="14.0"/>
      <color theme="1"/>
      <name val="Comfortaa"/>
    </font>
    <font>
      <sz val="12.0"/>
      <color rgb="FF000000"/>
      <name val="Comfortaa"/>
    </font>
  </fonts>
  <fills count="17">
    <fill>
      <patternFill patternType="none"/>
    </fill>
    <fill>
      <patternFill patternType="lightGray"/>
    </fill>
    <fill>
      <patternFill patternType="solid">
        <fgColor rgb="FFF6B900"/>
        <bgColor rgb="FFF6B900"/>
      </patternFill>
    </fill>
    <fill>
      <patternFill patternType="solid">
        <fgColor rgb="FFF28E85"/>
        <bgColor rgb="FFF28E85"/>
      </patternFill>
    </fill>
    <fill>
      <patternFill patternType="solid">
        <fgColor rgb="FFF6B26B"/>
        <bgColor rgb="FFF6B26B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9BBB59"/>
        <bgColor rgb="FF9BBB59"/>
      </patternFill>
    </fill>
    <fill>
      <patternFill patternType="solid">
        <fgColor rgb="FFE26B0A"/>
        <bgColor rgb="FFE26B0A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3F3F3"/>
        <bgColor rgb="FFF3F3F3"/>
      </patternFill>
    </fill>
    <fill>
      <patternFill patternType="solid">
        <fgColor rgb="FFD2F1DA"/>
        <bgColor rgb="FFD2F1DA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/>
      <right/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4" fillId="3" fontId="6" numFmtId="0" xfId="0" applyBorder="1" applyFill="1" applyFont="1"/>
    <xf borderId="4" fillId="3" fontId="7" numFmtId="0" xfId="0" applyBorder="1" applyFont="1"/>
    <xf borderId="1" fillId="3" fontId="8" numFmtId="0" xfId="0" applyAlignment="1" applyBorder="1" applyFont="1">
      <alignment horizontal="center"/>
    </xf>
    <xf borderId="0" fillId="0" fontId="9" numFmtId="0" xfId="0" applyAlignment="1" applyFont="1">
      <alignment vertical="center"/>
    </xf>
    <xf borderId="5" fillId="4" fontId="1" numFmtId="0" xfId="0" applyAlignment="1" applyBorder="1" applyFill="1" applyFont="1">
      <alignment vertical="center"/>
    </xf>
    <xf borderId="6" fillId="0" fontId="3" numFmtId="0" xfId="0" applyBorder="1" applyFont="1"/>
    <xf borderId="1" fillId="4" fontId="10" numFmtId="0" xfId="0" applyAlignment="1" applyBorder="1" applyFont="1">
      <alignment horizontal="center"/>
    </xf>
    <xf borderId="4" fillId="5" fontId="6" numFmtId="0" xfId="0" applyBorder="1" applyFill="1" applyFont="1"/>
    <xf borderId="4" fillId="5" fontId="6" numFmtId="0" xfId="0" applyAlignment="1" applyBorder="1" applyFont="1">
      <alignment horizontal="center"/>
    </xf>
    <xf borderId="4" fillId="5" fontId="11" numFmtId="0" xfId="0" applyAlignment="1" applyBorder="1" applyFont="1">
      <alignment horizontal="center"/>
    </xf>
    <xf borderId="4" fillId="0" fontId="12" numFmtId="0" xfId="0" applyBorder="1" applyFont="1"/>
    <xf borderId="4" fillId="6" fontId="13" numFmtId="4" xfId="0" applyAlignment="1" applyBorder="1" applyFill="1" applyFont="1" applyNumberFormat="1">
      <alignment horizontal="center"/>
    </xf>
    <xf borderId="4" fillId="0" fontId="13" numFmtId="4" xfId="0" applyAlignment="1" applyBorder="1" applyFont="1" applyNumberFormat="1">
      <alignment horizontal="center"/>
    </xf>
    <xf borderId="4" fillId="0" fontId="13" numFmtId="0" xfId="0" applyAlignment="1" applyBorder="1" applyFont="1">
      <alignment horizontal="center"/>
    </xf>
    <xf borderId="4" fillId="0" fontId="12" numFmtId="0" xfId="0" applyAlignment="1" applyBorder="1" applyFont="1">
      <alignment readingOrder="0"/>
    </xf>
    <xf borderId="4" fillId="7" fontId="13" numFmtId="4" xfId="0" applyAlignment="1" applyBorder="1" applyFill="1" applyFont="1" applyNumberFormat="1">
      <alignment horizontal="center"/>
    </xf>
    <xf borderId="4" fillId="5" fontId="11" numFmtId="0" xfId="0" applyAlignment="1" applyBorder="1" applyFont="1">
      <alignment horizontal="center" shrinkToFit="0" wrapText="1"/>
    </xf>
    <xf borderId="4" fillId="7" fontId="12" numFmtId="0" xfId="0" applyBorder="1" applyFont="1"/>
    <xf borderId="4" fillId="0" fontId="14" numFmtId="0" xfId="0" applyBorder="1" applyFont="1"/>
    <xf borderId="4" fillId="0" fontId="13" numFmtId="1" xfId="0" applyAlignment="1" applyBorder="1" applyFont="1" applyNumberFormat="1">
      <alignment horizontal="center"/>
    </xf>
    <xf borderId="4" fillId="7" fontId="7" numFmtId="0" xfId="0" applyBorder="1" applyFont="1"/>
    <xf borderId="4" fillId="0" fontId="7" numFmtId="2" xfId="0" applyBorder="1" applyFont="1" applyNumberFormat="1"/>
    <xf borderId="4" fillId="8" fontId="6" numFmtId="0" xfId="0" applyBorder="1" applyFill="1" applyFont="1"/>
    <xf borderId="4" fillId="8" fontId="13" numFmtId="4" xfId="0" applyAlignment="1" applyBorder="1" applyFont="1" applyNumberFormat="1">
      <alignment horizontal="center"/>
    </xf>
    <xf borderId="4" fillId="8" fontId="7" numFmtId="0" xfId="0" applyBorder="1" applyFont="1"/>
    <xf borderId="4" fillId="0" fontId="7" numFmtId="4" xfId="0" applyBorder="1" applyFont="1" applyNumberFormat="1"/>
    <xf borderId="4" fillId="0" fontId="7" numFmtId="0" xfId="0" applyBorder="1" applyFont="1"/>
    <xf borderId="0" fillId="0" fontId="12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4" fillId="9" fontId="13" numFmtId="0" xfId="0" applyAlignment="1" applyBorder="1" applyFill="1" applyFont="1">
      <alignment vertical="center"/>
    </xf>
    <xf borderId="4" fillId="0" fontId="13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1" fillId="10" fontId="13" numFmtId="0" xfId="0" applyAlignment="1" applyBorder="1" applyFill="1" applyFont="1">
      <alignment vertical="center"/>
    </xf>
    <xf borderId="7" fillId="11" fontId="13" numFmtId="0" xfId="0" applyAlignment="1" applyBorder="1" applyFill="1" applyFont="1">
      <alignment horizontal="center" vertical="center"/>
    </xf>
    <xf borderId="8" fillId="0" fontId="13" numFmtId="0" xfId="0" applyAlignment="1" applyBorder="1" applyFont="1">
      <alignment vertical="center"/>
    </xf>
    <xf borderId="4" fillId="0" fontId="13" numFmtId="0" xfId="0" applyAlignment="1" applyBorder="1" applyFont="1">
      <alignment vertical="center"/>
    </xf>
    <xf borderId="4" fillId="0" fontId="13" numFmtId="9" xfId="0" applyAlignment="1" applyBorder="1" applyFont="1" applyNumberFormat="1">
      <alignment vertical="center"/>
    </xf>
    <xf borderId="8" fillId="0" fontId="15" numFmtId="0" xfId="0" applyAlignment="1" applyBorder="1" applyFont="1">
      <alignment horizontal="left" vertical="center"/>
    </xf>
    <xf borderId="4" fillId="7" fontId="1" numFmtId="0" xfId="0" applyAlignment="1" applyBorder="1" applyFont="1">
      <alignment horizontal="left"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vertical="center"/>
    </xf>
    <xf borderId="7" fillId="11" fontId="1" numFmtId="0" xfId="0" applyBorder="1" applyFont="1"/>
    <xf borderId="7" fillId="11" fontId="13" numFmtId="0" xfId="0" applyBorder="1" applyFont="1"/>
    <xf borderId="7" fillId="11" fontId="7" numFmtId="0" xfId="0" applyBorder="1" applyFont="1"/>
    <xf borderId="4" fillId="10" fontId="13" numFmtId="0" xfId="0" applyAlignment="1" applyBorder="1" applyFont="1">
      <alignment vertical="center"/>
    </xf>
    <xf borderId="7" fillId="11" fontId="13" numFmtId="0" xfId="0" applyAlignment="1" applyBorder="1" applyFont="1">
      <alignment horizontal="center"/>
    </xf>
    <xf borderId="1" fillId="0" fontId="13" numFmtId="0" xfId="0" applyAlignment="1" applyBorder="1" applyFont="1">
      <alignment vertical="center"/>
    </xf>
    <xf borderId="4" fillId="11" fontId="16" numFmtId="0" xfId="0" applyAlignment="1" applyBorder="1" applyFont="1">
      <alignment shrinkToFit="0" vertical="center" wrapText="1"/>
    </xf>
    <xf borderId="1" fillId="0" fontId="13" numFmtId="9" xfId="0" applyAlignment="1" applyBorder="1" applyFont="1" applyNumberFormat="1">
      <alignment vertical="center"/>
    </xf>
    <xf borderId="4" fillId="11" fontId="1" numFmtId="0" xfId="0" applyAlignment="1" applyBorder="1" applyFont="1">
      <alignment horizontal="left" shrinkToFit="0" vertical="center" wrapText="1"/>
    </xf>
    <xf borderId="7" fillId="11" fontId="1" numFmtId="0" xfId="0" applyAlignment="1" applyBorder="1" applyFont="1">
      <alignment horizontal="center"/>
    </xf>
    <xf borderId="4" fillId="11" fontId="1" numFmtId="0" xfId="0" applyAlignment="1" applyBorder="1" applyFont="1">
      <alignment vertical="center"/>
    </xf>
    <xf borderId="0" fillId="0" fontId="7" numFmtId="0" xfId="0" applyFont="1"/>
    <xf borderId="1" fillId="12" fontId="6" numFmtId="4" xfId="0" applyAlignment="1" applyBorder="1" applyFill="1" applyFont="1" applyNumberFormat="1">
      <alignment horizontal="center" shrinkToFit="0" wrapText="1"/>
    </xf>
    <xf borderId="9" fillId="0" fontId="7" numFmtId="4" xfId="0" applyBorder="1" applyFont="1" applyNumberFormat="1"/>
    <xf borderId="10" fillId="0" fontId="7" numFmtId="4" xfId="0" applyBorder="1" applyFont="1" applyNumberFormat="1"/>
    <xf borderId="0" fillId="0" fontId="7" numFmtId="4" xfId="0" applyFont="1" applyNumberFormat="1"/>
    <xf borderId="11" fillId="0" fontId="7" numFmtId="4" xfId="0" applyBorder="1" applyFont="1" applyNumberFormat="1"/>
    <xf borderId="0" fillId="0" fontId="7" numFmtId="164" xfId="0" applyFont="1" applyNumberFormat="1"/>
    <xf borderId="12" fillId="12" fontId="6" numFmtId="4" xfId="0" applyAlignment="1" applyBorder="1" applyFont="1" applyNumberFormat="1">
      <alignment horizontal="center" shrinkToFit="0" wrapText="1"/>
    </xf>
    <xf borderId="13" fillId="0" fontId="3" numFmtId="0" xfId="0" applyBorder="1" applyFont="1"/>
    <xf borderId="14" fillId="0" fontId="3" numFmtId="0" xfId="0" applyBorder="1" applyFont="1"/>
    <xf borderId="7" fillId="13" fontId="7" numFmtId="4" xfId="0" applyBorder="1" applyFill="1" applyFont="1" applyNumberFormat="1"/>
    <xf borderId="0" fillId="0" fontId="7" numFmtId="165" xfId="0" applyFont="1" applyNumberFormat="1"/>
    <xf borderId="0" fillId="0" fontId="6" numFmtId="0" xfId="0" applyAlignment="1" applyFont="1">
      <alignment shrinkToFit="0" wrapText="1"/>
    </xf>
    <xf borderId="7" fillId="14" fontId="6" numFmtId="0" xfId="0" applyAlignment="1" applyBorder="1" applyFill="1" applyFont="1">
      <alignment shrinkToFit="0" wrapText="1"/>
    </xf>
    <xf borderId="15" fillId="0" fontId="6" numFmtId="4" xfId="0" applyAlignment="1" applyBorder="1" applyFont="1" applyNumberFormat="1">
      <alignment horizontal="right" shrinkToFit="0" wrapText="1"/>
    </xf>
    <xf borderId="16" fillId="0" fontId="6" numFmtId="165" xfId="0" applyAlignment="1" applyBorder="1" applyFont="1" applyNumberFormat="1">
      <alignment horizontal="right" shrinkToFit="0" wrapText="1"/>
    </xf>
    <xf borderId="0" fillId="0" fontId="6" numFmtId="4" xfId="0" applyAlignment="1" applyFont="1" applyNumberFormat="1">
      <alignment shrinkToFit="0" wrapText="1"/>
    </xf>
    <xf borderId="0" fillId="0" fontId="6" numFmtId="165" xfId="0" applyAlignment="1" applyFont="1" applyNumberFormat="1">
      <alignment shrinkToFit="0" wrapText="1"/>
    </xf>
    <xf borderId="0" fillId="0" fontId="6" numFmtId="165" xfId="0" applyAlignment="1" applyFont="1" applyNumberFormat="1">
      <alignment horizontal="right" shrinkToFit="0" wrapText="1"/>
    </xf>
    <xf borderId="16" fillId="0" fontId="6" numFmtId="0" xfId="0" applyAlignment="1" applyBorder="1" applyFont="1">
      <alignment horizontal="center" shrinkToFit="0" wrapText="1"/>
    </xf>
    <xf borderId="7" fillId="14" fontId="6" numFmtId="4" xfId="0" applyAlignment="1" applyBorder="1" applyFont="1" applyNumberFormat="1">
      <alignment shrinkToFit="0" wrapText="1"/>
    </xf>
    <xf borderId="0" fillId="0" fontId="6" numFmtId="4" xfId="0" applyAlignment="1" applyFont="1" applyNumberFormat="1">
      <alignment horizontal="right" shrinkToFit="0" wrapText="1"/>
    </xf>
    <xf borderId="7" fillId="14" fontId="6" numFmtId="165" xfId="0" applyAlignment="1" applyBorder="1" applyFont="1" applyNumberFormat="1">
      <alignment shrinkToFit="0" wrapText="1"/>
    </xf>
    <xf borderId="7" fillId="13" fontId="6" numFmtId="165" xfId="0" applyAlignment="1" applyBorder="1" applyFont="1" applyNumberFormat="1">
      <alignment horizontal="right" shrinkToFit="0" wrapText="1"/>
    </xf>
    <xf borderId="7" fillId="15" fontId="6" numFmtId="0" xfId="0" applyAlignment="1" applyBorder="1" applyFill="1" applyFont="1">
      <alignment shrinkToFit="0" wrapText="1"/>
    </xf>
    <xf borderId="7" fillId="14" fontId="7" numFmtId="0" xfId="0" applyBorder="1" applyFont="1"/>
    <xf borderId="15" fillId="0" fontId="7" numFmtId="4" xfId="0" applyBorder="1" applyFont="1" applyNumberFormat="1"/>
    <xf borderId="16" fillId="0" fontId="6" numFmtId="4" xfId="0" applyAlignment="1" applyBorder="1" applyFont="1" applyNumberFormat="1">
      <alignment horizontal="right" shrinkToFit="0" wrapText="1"/>
    </xf>
    <xf borderId="15" fillId="0" fontId="7" numFmtId="164" xfId="0" applyBorder="1" applyFont="1" applyNumberFormat="1"/>
    <xf borderId="0" fillId="0" fontId="6" numFmtId="164" xfId="0" applyAlignment="1" applyFont="1" applyNumberFormat="1">
      <alignment horizontal="right" shrinkToFit="0" wrapText="1"/>
    </xf>
    <xf borderId="16" fillId="0" fontId="7" numFmtId="164" xfId="0" applyBorder="1" applyFont="1" applyNumberFormat="1"/>
    <xf borderId="7" fillId="14" fontId="7" numFmtId="164" xfId="0" applyBorder="1" applyFont="1" applyNumberFormat="1"/>
    <xf borderId="7" fillId="13" fontId="6" numFmtId="164" xfId="0" applyAlignment="1" applyBorder="1" applyFont="1" applyNumberFormat="1">
      <alignment horizontal="right" shrinkToFit="0" wrapText="1"/>
    </xf>
    <xf borderId="0" fillId="0" fontId="7" numFmtId="9" xfId="0" applyFont="1" applyNumberFormat="1"/>
    <xf borderId="0" fillId="0" fontId="12" numFmtId="0" xfId="0" applyFont="1"/>
    <xf borderId="0" fillId="0" fontId="12" numFmtId="164" xfId="0" applyAlignment="1" applyFont="1" applyNumberFormat="1">
      <alignment horizontal="right"/>
    </xf>
    <xf borderId="7" fillId="14" fontId="12" numFmtId="164" xfId="0" applyAlignment="1" applyBorder="1" applyFont="1" applyNumberFormat="1">
      <alignment horizontal="right"/>
    </xf>
    <xf borderId="15" fillId="0" fontId="12" numFmtId="164" xfId="0" applyAlignment="1" applyBorder="1" applyFont="1" applyNumberFormat="1">
      <alignment horizontal="right"/>
    </xf>
    <xf borderId="15" fillId="0" fontId="12" numFmtId="164" xfId="0" applyAlignment="1" applyBorder="1" applyFont="1" applyNumberFormat="1">
      <alignment horizontal="right" shrinkToFit="0" wrapText="1"/>
    </xf>
    <xf borderId="16" fillId="0" fontId="6" numFmtId="164" xfId="0" applyAlignment="1" applyBorder="1" applyFont="1" applyNumberFormat="1">
      <alignment horizontal="right" shrinkToFit="0" wrapText="1"/>
    </xf>
    <xf borderId="0" fillId="0" fontId="12" numFmtId="164" xfId="0" applyAlignment="1" applyFont="1" applyNumberFormat="1">
      <alignment horizontal="right" shrinkToFit="0" wrapText="1"/>
    </xf>
    <xf borderId="7" fillId="13" fontId="7" numFmtId="164" xfId="0" applyBorder="1" applyFont="1" applyNumberFormat="1"/>
    <xf borderId="2" fillId="0" fontId="7" numFmtId="0" xfId="0" applyBorder="1" applyFont="1"/>
    <xf borderId="2" fillId="0" fontId="6" numFmtId="4" xfId="0" applyAlignment="1" applyBorder="1" applyFont="1" applyNumberFormat="1">
      <alignment horizontal="right" shrinkToFit="0" wrapText="1"/>
    </xf>
    <xf borderId="2" fillId="0" fontId="12" numFmtId="164" xfId="0" applyAlignment="1" applyBorder="1" applyFont="1" applyNumberFormat="1">
      <alignment horizontal="right"/>
    </xf>
    <xf borderId="17" fillId="14" fontId="12" numFmtId="164" xfId="0" applyAlignment="1" applyBorder="1" applyFont="1" applyNumberFormat="1">
      <alignment horizontal="right"/>
    </xf>
    <xf borderId="1" fillId="0" fontId="12" numFmtId="164" xfId="0" applyAlignment="1" applyBorder="1" applyFont="1" applyNumberFormat="1">
      <alignment horizontal="right"/>
    </xf>
    <xf borderId="3" fillId="0" fontId="7" numFmtId="164" xfId="0" applyBorder="1" applyFont="1" applyNumberFormat="1"/>
    <xf borderId="2" fillId="0" fontId="6" numFmtId="164" xfId="0" applyAlignment="1" applyBorder="1" applyFont="1" applyNumberFormat="1">
      <alignment horizontal="right" shrinkToFit="0" wrapText="1"/>
    </xf>
    <xf borderId="1" fillId="0" fontId="6" numFmtId="164" xfId="0" applyAlignment="1" applyBorder="1" applyFont="1" applyNumberFormat="1">
      <alignment horizontal="right" shrinkToFit="0" wrapText="1"/>
    </xf>
    <xf borderId="3" fillId="0" fontId="6" numFmtId="164" xfId="0" applyAlignment="1" applyBorder="1" applyFont="1" applyNumberFormat="1">
      <alignment horizontal="right" shrinkToFit="0" wrapText="1"/>
    </xf>
    <xf borderId="17" fillId="14" fontId="6" numFmtId="164" xfId="0" applyAlignment="1" applyBorder="1" applyFont="1" applyNumberFormat="1">
      <alignment horizontal="right" shrinkToFit="0" wrapText="1"/>
    </xf>
    <xf borderId="2" fillId="0" fontId="7" numFmtId="164" xfId="0" applyBorder="1" applyFont="1" applyNumberFormat="1"/>
    <xf borderId="17" fillId="13" fontId="7" numFmtId="164" xfId="0" applyBorder="1" applyFont="1" applyNumberFormat="1"/>
    <xf borderId="7" fillId="14" fontId="12" numFmtId="164" xfId="0" applyBorder="1" applyFont="1" applyNumberFormat="1"/>
    <xf borderId="7" fillId="14" fontId="12" numFmtId="164" xfId="0" applyAlignment="1" applyBorder="1" applyFont="1" applyNumberFormat="1">
      <alignment shrinkToFit="0" wrapText="1"/>
    </xf>
    <xf borderId="16" fillId="0" fontId="12" numFmtId="164" xfId="0" applyAlignment="1" applyBorder="1" applyFont="1" applyNumberFormat="1">
      <alignment horizontal="right"/>
    </xf>
    <xf borderId="7" fillId="16" fontId="6" numFmtId="0" xfId="0" applyAlignment="1" applyBorder="1" applyFill="1" applyFont="1">
      <alignment shrinkToFit="0" wrapText="1"/>
    </xf>
    <xf borderId="7" fillId="13" fontId="12" numFmtId="164" xfId="0" applyAlignment="1" applyBorder="1" applyFont="1" applyNumberFormat="1">
      <alignment horizontal="right" shrinkToFit="0" wrapText="1"/>
    </xf>
    <xf borderId="16" fillId="0" fontId="6" numFmtId="164" xfId="0" applyAlignment="1" applyBorder="1" applyFont="1" applyNumberFormat="1">
      <alignment horizontal="right"/>
    </xf>
    <xf borderId="0" fillId="0" fontId="6" numFmtId="164" xfId="0" applyAlignment="1" applyFont="1" applyNumberFormat="1">
      <alignment horizontal="right"/>
    </xf>
    <xf borderId="2" fillId="0" fontId="12" numFmtId="164" xfId="0" applyAlignment="1" applyBorder="1" applyFont="1" applyNumberFormat="1">
      <alignment horizontal="right" shrinkToFit="0" wrapText="1"/>
    </xf>
    <xf borderId="15" fillId="0" fontId="7" numFmtId="0" xfId="0" applyBorder="1" applyFont="1"/>
    <xf borderId="16" fillId="0" fontId="7" numFmtId="0" xfId="0" applyBorder="1" applyFont="1"/>
    <xf borderId="17" fillId="15" fontId="6" numFmtId="4" xfId="0" applyAlignment="1" applyBorder="1" applyFont="1" applyNumberFormat="1">
      <alignment horizontal="right" shrinkToFit="0" wrapText="1"/>
    </xf>
    <xf borderId="3" fillId="0" fontId="7" numFmtId="9" xfId="0" applyBorder="1" applyFont="1" applyNumberFormat="1"/>
    <xf borderId="17" fillId="13" fontId="6" numFmtId="164" xfId="0" applyAlignment="1" applyBorder="1" applyFont="1" applyNumberFormat="1">
      <alignment horizontal="right" shrinkToFit="0" wrapText="1"/>
    </xf>
    <xf borderId="15" fillId="0" fontId="6" numFmtId="164" xfId="0" applyAlignment="1" applyBorder="1" applyFont="1" applyNumberFormat="1">
      <alignment horizontal="right" shrinkToFit="0" wrapText="1"/>
    </xf>
    <xf borderId="17" fillId="16" fontId="6" numFmtId="4" xfId="0" applyAlignment="1" applyBorder="1" applyFont="1" applyNumberFormat="1">
      <alignment horizontal="right" shrinkToFit="0" wrapText="1"/>
    </xf>
    <xf borderId="2" fillId="0" fontId="7" numFmtId="166" xfId="0" applyBorder="1" applyFont="1" applyNumberFormat="1"/>
    <xf borderId="2" fillId="0" fontId="6" numFmtId="166" xfId="0" applyAlignment="1" applyBorder="1" applyFont="1" applyNumberFormat="1">
      <alignment horizontal="right" shrinkToFit="0" wrapText="1"/>
    </xf>
    <xf borderId="3" fillId="0" fontId="7" numFmtId="166" xfId="0" applyBorder="1" applyFont="1" applyNumberFormat="1"/>
    <xf borderId="17" fillId="13" fontId="12" numFmtId="164" xfId="0" applyAlignment="1" applyBorder="1" applyFont="1" applyNumberFormat="1">
      <alignment horizontal="right" shrinkToFit="0" wrapText="1"/>
    </xf>
    <xf borderId="7" fillId="7" fontId="7" numFmtId="0" xfId="0" applyBorder="1" applyFont="1"/>
    <xf borderId="0" fillId="0" fontId="1" numFmtId="0" xfId="0" applyFont="1"/>
    <xf borderId="18" fillId="11" fontId="2" numFmtId="0" xfId="0" applyAlignment="1" applyBorder="1" applyFont="1">
      <alignment horizontal="center"/>
    </xf>
    <xf borderId="19" fillId="0" fontId="3" numFmtId="0" xfId="0" applyBorder="1" applyFont="1"/>
    <xf borderId="5" fillId="4" fontId="1" numFmtId="0" xfId="0" applyBorder="1" applyFont="1"/>
    <xf borderId="18" fillId="4" fontId="10" numFmtId="0" xfId="0" applyAlignment="1" applyBorder="1" applyFont="1">
      <alignment horizontal="center"/>
    </xf>
    <xf borderId="20" fillId="5" fontId="6" numFmtId="0" xfId="0" applyBorder="1" applyFont="1"/>
    <xf borderId="21" fillId="5" fontId="6" numFmtId="0" xfId="0" applyAlignment="1" applyBorder="1" applyFont="1">
      <alignment horizontal="center"/>
    </xf>
    <xf borderId="21" fillId="5" fontId="11" numFmtId="0" xfId="0" applyAlignment="1" applyBorder="1" applyFont="1">
      <alignment horizontal="center"/>
    </xf>
    <xf borderId="8" fillId="0" fontId="12" numFmtId="0" xfId="0" applyBorder="1" applyFont="1"/>
    <xf borderId="21" fillId="6" fontId="13" numFmtId="4" xfId="0" applyAlignment="1" applyBorder="1" applyFont="1" applyNumberFormat="1">
      <alignment horizontal="center"/>
    </xf>
    <xf borderId="22" fillId="0" fontId="1" numFmtId="4" xfId="0" applyAlignment="1" applyBorder="1" applyFont="1" applyNumberFormat="1">
      <alignment horizontal="center"/>
    </xf>
    <xf borderId="22" fillId="0" fontId="1" numFmtId="3" xfId="0" applyAlignment="1" applyBorder="1" applyFont="1" applyNumberFormat="1">
      <alignment horizontal="center"/>
    </xf>
    <xf borderId="21" fillId="11" fontId="1" numFmtId="4" xfId="0" applyAlignment="1" applyBorder="1" applyFont="1" applyNumberFormat="1">
      <alignment horizontal="center"/>
    </xf>
    <xf borderId="21" fillId="7" fontId="1" numFmtId="4" xfId="0" applyAlignment="1" applyBorder="1" applyFont="1" applyNumberFormat="1">
      <alignment horizontal="center"/>
    </xf>
    <xf borderId="0" fillId="0" fontId="13" numFmtId="0" xfId="0" applyAlignment="1" applyFont="1">
      <alignment horizontal="center"/>
    </xf>
    <xf borderId="0" fillId="0" fontId="13" numFmtId="0" xfId="0" applyFont="1"/>
    <xf borderId="1" fillId="10" fontId="13" numFmtId="0" xfId="0" applyBorder="1" applyFont="1"/>
    <xf borderId="8" fillId="0" fontId="13" numFmtId="0" xfId="0" applyBorder="1" applyFont="1"/>
    <xf borderId="0" fillId="0" fontId="1" numFmtId="0" xfId="0" applyAlignment="1" applyFont="1">
      <alignment horizontal="center"/>
    </xf>
    <xf borderId="1" fillId="0" fontId="1" numFmtId="0" xfId="0" applyBorder="1" applyFont="1"/>
    <xf borderId="7" fillId="11" fontId="16" numFmtId="0" xfId="0" applyBorder="1" applyFont="1"/>
    <xf borderId="12" fillId="6" fontId="17" numFmtId="0" xfId="0" applyAlignment="1" applyBorder="1" applyFont="1">
      <alignment horizontal="center" vertical="center"/>
    </xf>
    <xf borderId="7" fillId="11" fontId="18" numFmtId="0" xfId="0" applyBorder="1" applyFont="1"/>
    <xf borderId="4" fillId="7" fontId="6" numFmtId="0" xfId="0" applyBorder="1" applyFont="1"/>
    <xf borderId="4" fillId="7" fontId="6" numFmtId="0" xfId="0" applyAlignment="1" applyBorder="1" applyFont="1">
      <alignment horizontal="center"/>
    </xf>
    <xf borderId="7" fillId="11" fontId="12" numFmtId="0" xfId="0" applyBorder="1" applyFont="1"/>
    <xf borderId="4" fillId="7" fontId="12" numFmtId="0" xfId="0" applyAlignment="1" applyBorder="1" applyFont="1">
      <alignment shrinkToFit="0" wrapText="1"/>
    </xf>
    <xf borderId="4" fillId="7" fontId="12" numFmtId="4" xfId="0" applyAlignment="1" applyBorder="1" applyFont="1" applyNumberFormat="1">
      <alignment horizontal="right"/>
    </xf>
    <xf borderId="4" fillId="15" fontId="6" numFmtId="0" xfId="0" applyBorder="1" applyFont="1"/>
    <xf borderId="4" fillId="15" fontId="6" numFmtId="4" xfId="0" applyAlignment="1" applyBorder="1" applyFont="1" applyNumberFormat="1">
      <alignment horizontal="right"/>
    </xf>
    <xf borderId="4" fillId="7" fontId="7" numFmtId="4" xfId="0" applyBorder="1" applyFont="1" applyNumberFormat="1"/>
    <xf borderId="4" fillId="7" fontId="12" numFmtId="3" xfId="0" applyAlignment="1" applyBorder="1" applyFont="1" applyNumberFormat="1">
      <alignment horizontal="right"/>
    </xf>
    <xf borderId="0" fillId="0" fontId="17" numFmtId="0" xfId="0" applyAlignment="1" applyFont="1">
      <alignment horizontal="center"/>
    </xf>
    <xf borderId="0" fillId="0" fontId="6" numFmtId="0" xfId="0" applyFont="1"/>
    <xf borderId="0" fillId="0" fontId="6" numFmtId="0" xfId="0" applyAlignment="1" applyFont="1">
      <alignment horizontal="center"/>
    </xf>
    <xf borderId="0" fillId="0" fontId="12" numFmtId="0" xfId="0" applyAlignment="1" applyFont="1">
      <alignment shrinkToFit="0" wrapText="1"/>
    </xf>
    <xf borderId="0" fillId="0" fontId="6" numFmtId="0" xfId="0" applyAlignment="1" applyFont="1">
      <alignment horizontal="left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49.63"/>
    <col customWidth="1" min="3" max="3" width="13.63"/>
    <col customWidth="1" min="4" max="4" width="11.13"/>
    <col customWidth="1" min="5" max="5" width="13.13"/>
    <col customWidth="1" min="6" max="26" width="11.13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.5" customHeight="1">
      <c r="A2" s="6"/>
      <c r="B2" s="7" t="s">
        <v>1</v>
      </c>
      <c r="C2" s="8"/>
      <c r="D2" s="9" t="s">
        <v>2</v>
      </c>
      <c r="E2" s="4"/>
      <c r="F2" s="9" t="s">
        <v>3</v>
      </c>
      <c r="G2" s="4"/>
      <c r="H2" s="9" t="s">
        <v>4</v>
      </c>
      <c r="I2" s="4"/>
      <c r="J2" s="9" t="s">
        <v>5</v>
      </c>
      <c r="K2" s="4"/>
      <c r="L2" s="9" t="s">
        <v>6</v>
      </c>
      <c r="M2" s="4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5.75" customHeight="1">
      <c r="A3" s="1"/>
      <c r="B3" s="11"/>
      <c r="C3" s="12"/>
      <c r="D3" s="13" t="s">
        <v>7</v>
      </c>
      <c r="E3" s="4"/>
      <c r="F3" s="13">
        <v>2024.0</v>
      </c>
      <c r="G3" s="4"/>
      <c r="H3" s="13">
        <v>2025.0</v>
      </c>
      <c r="I3" s="4"/>
      <c r="J3" s="13">
        <v>2026.0</v>
      </c>
      <c r="K3" s="4"/>
      <c r="L3" s="13">
        <v>2027.0</v>
      </c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3.0" customHeight="1">
      <c r="A4" s="1"/>
      <c r="B4" s="14" t="s">
        <v>8</v>
      </c>
      <c r="C4" s="15" t="s">
        <v>9</v>
      </c>
      <c r="D4" s="16" t="s">
        <v>10</v>
      </c>
      <c r="E4" s="16" t="s">
        <v>11</v>
      </c>
      <c r="F4" s="16" t="s">
        <v>10</v>
      </c>
      <c r="G4" s="16" t="s">
        <v>11</v>
      </c>
      <c r="H4" s="16" t="s">
        <v>10</v>
      </c>
      <c r="I4" s="16" t="s">
        <v>11</v>
      </c>
      <c r="J4" s="16" t="s">
        <v>10</v>
      </c>
      <c r="K4" s="16" t="s">
        <v>11</v>
      </c>
      <c r="L4" s="16" t="s">
        <v>10</v>
      </c>
      <c r="M4" s="16" t="s">
        <v>11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1"/>
      <c r="B5" s="17" t="s">
        <v>12</v>
      </c>
      <c r="C5" s="18">
        <f t="shared" ref="C5:C7" si="1">D5+F5+H5+J5+L5</f>
        <v>378000</v>
      </c>
      <c r="D5" s="19">
        <f>E5*C41</f>
        <v>63000</v>
      </c>
      <c r="E5" s="20">
        <v>3.0</v>
      </c>
      <c r="F5" s="19">
        <f>G5*C41</f>
        <v>63000</v>
      </c>
      <c r="G5" s="20">
        <v>3.0</v>
      </c>
      <c r="H5" s="19">
        <f>I5*C41</f>
        <v>84000</v>
      </c>
      <c r="I5" s="20">
        <v>4.0</v>
      </c>
      <c r="J5" s="19">
        <f>K5*C41</f>
        <v>84000</v>
      </c>
      <c r="K5" s="20">
        <v>4.0</v>
      </c>
      <c r="L5" s="19">
        <f>M5*C41</f>
        <v>84000</v>
      </c>
      <c r="M5" s="20">
        <v>4.0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1"/>
      <c r="B6" s="17" t="s">
        <v>13</v>
      </c>
      <c r="C6" s="18">
        <f t="shared" si="1"/>
        <v>440000</v>
      </c>
      <c r="D6" s="19">
        <f t="shared" ref="D6:D7" si="2">E6*C39</f>
        <v>60000</v>
      </c>
      <c r="E6" s="20">
        <v>3.0</v>
      </c>
      <c r="F6" s="19">
        <f t="shared" ref="F6:F7" si="3">G6*C39</f>
        <v>80000</v>
      </c>
      <c r="G6" s="20">
        <v>4.0</v>
      </c>
      <c r="H6" s="19">
        <f t="shared" ref="H6:H7" si="4">I6*C39</f>
        <v>100000</v>
      </c>
      <c r="I6" s="20">
        <v>5.0</v>
      </c>
      <c r="J6" s="19">
        <f t="shared" ref="J6:J7" si="5">K6*C39</f>
        <v>100000</v>
      </c>
      <c r="K6" s="20">
        <v>5.0</v>
      </c>
      <c r="L6" s="19">
        <f t="shared" ref="L6:L7" si="6">M6*C39</f>
        <v>100000</v>
      </c>
      <c r="M6" s="20">
        <v>5.0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1"/>
      <c r="B7" s="17" t="s">
        <v>14</v>
      </c>
      <c r="C7" s="18">
        <f t="shared" si="1"/>
        <v>180000</v>
      </c>
      <c r="D7" s="19">
        <f t="shared" si="2"/>
        <v>24000</v>
      </c>
      <c r="E7" s="20">
        <v>2.0</v>
      </c>
      <c r="F7" s="19">
        <f t="shared" si="3"/>
        <v>24000</v>
      </c>
      <c r="G7" s="20">
        <v>2.0</v>
      </c>
      <c r="H7" s="19">
        <f t="shared" si="4"/>
        <v>36000</v>
      </c>
      <c r="I7" s="20">
        <v>3.0</v>
      </c>
      <c r="J7" s="19">
        <f t="shared" si="5"/>
        <v>48000</v>
      </c>
      <c r="K7" s="20">
        <v>4.0</v>
      </c>
      <c r="L7" s="19">
        <f t="shared" si="6"/>
        <v>48000</v>
      </c>
      <c r="M7" s="20">
        <v>4.0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1"/>
      <c r="B8" s="21" t="s">
        <v>15</v>
      </c>
      <c r="C8" s="18">
        <f>D8+F8</f>
        <v>60000</v>
      </c>
      <c r="D8" s="19">
        <v>45000.0</v>
      </c>
      <c r="E8" s="20">
        <v>1.0</v>
      </c>
      <c r="F8" s="19">
        <v>15000.0</v>
      </c>
      <c r="G8" s="20">
        <v>1.0</v>
      </c>
      <c r="H8" s="19">
        <v>0.0</v>
      </c>
      <c r="I8" s="20">
        <v>0.0</v>
      </c>
      <c r="J8" s="19">
        <v>0.0</v>
      </c>
      <c r="K8" s="20">
        <v>0.0</v>
      </c>
      <c r="L8" s="19">
        <v>0.0</v>
      </c>
      <c r="M8" s="20">
        <v>0.0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1"/>
      <c r="B9" s="17" t="s">
        <v>16</v>
      </c>
      <c r="C9" s="18">
        <f t="shared" ref="C9:C12" si="7">D9+F9+H9+J9+L9</f>
        <v>282550</v>
      </c>
      <c r="D9" s="19">
        <f>E9*C34</f>
        <v>13550</v>
      </c>
      <c r="E9" s="20">
        <f>SUM(E15:E19)+E20*10</f>
        <v>271</v>
      </c>
      <c r="F9" s="19">
        <f>G9*C34</f>
        <v>41000</v>
      </c>
      <c r="G9" s="20">
        <f>SUM(G15:G19)+G20*10</f>
        <v>820</v>
      </c>
      <c r="H9" s="19">
        <f>I9*C34</f>
        <v>58800</v>
      </c>
      <c r="I9" s="20">
        <f>SUM(I15:I19)+I20*10</f>
        <v>1176</v>
      </c>
      <c r="J9" s="19">
        <f>(K9*C34)*0.9</f>
        <v>74250</v>
      </c>
      <c r="K9" s="20">
        <f>SUM(K15:K19)+K20*10</f>
        <v>1650</v>
      </c>
      <c r="L9" s="19">
        <f>(M9*C34)*0.9</f>
        <v>94950</v>
      </c>
      <c r="M9" s="20">
        <f>SUM(M15:M19)+M20*10</f>
        <v>2110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"/>
      <c r="B10" s="21" t="s">
        <v>17</v>
      </c>
      <c r="C10" s="18">
        <f t="shared" si="7"/>
        <v>452025</v>
      </c>
      <c r="D10" s="19">
        <f>E10*$C$36</f>
        <v>20325</v>
      </c>
      <c r="E10" s="20">
        <f>E9</f>
        <v>271</v>
      </c>
      <c r="F10" s="19">
        <f>G10*$C$36</f>
        <v>61500</v>
      </c>
      <c r="G10" s="20">
        <f>G9</f>
        <v>820</v>
      </c>
      <c r="H10" s="19">
        <f>I10*$C$36</f>
        <v>88200</v>
      </c>
      <c r="I10" s="20">
        <f>I9</f>
        <v>1176</v>
      </c>
      <c r="J10" s="19">
        <f>K10*$C$36</f>
        <v>123750</v>
      </c>
      <c r="K10" s="20">
        <f>K9</f>
        <v>1650</v>
      </c>
      <c r="L10" s="19">
        <f>M10*$C$36</f>
        <v>158250</v>
      </c>
      <c r="M10" s="20">
        <f>M9</f>
        <v>2110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"/>
      <c r="B11" s="21" t="s">
        <v>18</v>
      </c>
      <c r="C11" s="18">
        <f t="shared" si="7"/>
        <v>48000</v>
      </c>
      <c r="D11" s="19">
        <v>12000.0</v>
      </c>
      <c r="E11" s="20">
        <v>2.0</v>
      </c>
      <c r="F11" s="19">
        <v>12000.0</v>
      </c>
      <c r="G11" s="20">
        <v>2.0</v>
      </c>
      <c r="H11" s="19">
        <v>12000.0</v>
      </c>
      <c r="I11" s="20">
        <v>2.0</v>
      </c>
      <c r="J11" s="19">
        <v>6000.0</v>
      </c>
      <c r="K11" s="20">
        <v>1.0</v>
      </c>
      <c r="L11" s="19">
        <v>6000.0</v>
      </c>
      <c r="M11" s="20">
        <v>1.0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1"/>
      <c r="B12" s="17" t="s">
        <v>19</v>
      </c>
      <c r="C12" s="18">
        <f t="shared" si="7"/>
        <v>126000</v>
      </c>
      <c r="D12" s="19">
        <v>24000.0</v>
      </c>
      <c r="E12" s="20"/>
      <c r="F12" s="19">
        <v>24000.0</v>
      </c>
      <c r="G12" s="20"/>
      <c r="H12" s="19">
        <v>26000.0</v>
      </c>
      <c r="I12" s="20"/>
      <c r="J12" s="19">
        <v>26000.0</v>
      </c>
      <c r="K12" s="20"/>
      <c r="L12" s="19">
        <v>26000.0</v>
      </c>
      <c r="M12" s="20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1"/>
      <c r="B13" s="17" t="s">
        <v>20</v>
      </c>
      <c r="C13" s="18">
        <f t="shared" ref="C13:D13" si="8">SUM(C5:C12)</f>
        <v>1966575</v>
      </c>
      <c r="D13" s="22">
        <f t="shared" si="8"/>
        <v>261875</v>
      </c>
      <c r="E13" s="20"/>
      <c r="F13" s="19">
        <f>SUM(F5:F12)</f>
        <v>320500</v>
      </c>
      <c r="G13" s="20"/>
      <c r="H13" s="22">
        <f>SUM(H5:H12)</f>
        <v>405000</v>
      </c>
      <c r="I13" s="20"/>
      <c r="J13" s="22">
        <f>SUM(J5:J12)</f>
        <v>462000</v>
      </c>
      <c r="K13" s="20"/>
      <c r="L13" s="22">
        <f>SUM(L5:L12)</f>
        <v>517200</v>
      </c>
      <c r="M13" s="20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4.5" customHeight="1">
      <c r="A14" s="1"/>
      <c r="B14" s="14" t="s">
        <v>21</v>
      </c>
      <c r="C14" s="15" t="s">
        <v>9</v>
      </c>
      <c r="D14" s="16" t="s">
        <v>10</v>
      </c>
      <c r="E14" s="23" t="s">
        <v>22</v>
      </c>
      <c r="F14" s="16" t="s">
        <v>10</v>
      </c>
      <c r="G14" s="23" t="s">
        <v>22</v>
      </c>
      <c r="H14" s="16" t="s">
        <v>10</v>
      </c>
      <c r="I14" s="23" t="s">
        <v>22</v>
      </c>
      <c r="J14" s="16">
        <f>K15*C32</f>
        <v>450000</v>
      </c>
      <c r="K14" s="23" t="s">
        <v>22</v>
      </c>
      <c r="L14" s="16" t="s">
        <v>10</v>
      </c>
      <c r="M14" s="23" t="s">
        <v>22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1"/>
      <c r="B15" s="24" t="s">
        <v>23</v>
      </c>
      <c r="C15" s="18">
        <f t="shared" ref="C15:C21" si="9">D15+F15+H15+J15+L15</f>
        <v>2019600</v>
      </c>
      <c r="D15" s="19">
        <f>E15*(C32+C33)</f>
        <v>98600</v>
      </c>
      <c r="E15" s="20">
        <v>58.0</v>
      </c>
      <c r="F15" s="19">
        <f>G15*(C32+C33)</f>
        <v>255000</v>
      </c>
      <c r="G15" s="20">
        <v>150.0</v>
      </c>
      <c r="H15" s="19">
        <f>I15*(C32+C33)</f>
        <v>408000</v>
      </c>
      <c r="I15" s="20">
        <v>240.0</v>
      </c>
      <c r="J15" s="19">
        <f>K15*(C32+C33)</f>
        <v>510000</v>
      </c>
      <c r="K15" s="20">
        <v>300.0</v>
      </c>
      <c r="L15" s="19">
        <f>M15*(C32+C33)</f>
        <v>748000</v>
      </c>
      <c r="M15" s="20">
        <v>440.0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1"/>
      <c r="B16" s="17" t="s">
        <v>24</v>
      </c>
      <c r="C16" s="18">
        <f t="shared" si="9"/>
        <v>104600</v>
      </c>
      <c r="D16" s="19">
        <f>E16*C33</f>
        <v>10600</v>
      </c>
      <c r="E16" s="20">
        <v>53.0</v>
      </c>
      <c r="F16" s="19">
        <f>G16*C33</f>
        <v>16000</v>
      </c>
      <c r="G16" s="20">
        <v>80.0</v>
      </c>
      <c r="H16" s="19">
        <f>I16*C33</f>
        <v>20000</v>
      </c>
      <c r="I16" s="20">
        <v>100.0</v>
      </c>
      <c r="J16" s="19">
        <f>K16*C33</f>
        <v>26000</v>
      </c>
      <c r="K16" s="20">
        <v>130.0</v>
      </c>
      <c r="L16" s="19">
        <f>M16*C33</f>
        <v>32000</v>
      </c>
      <c r="M16" s="20">
        <v>160.0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1"/>
      <c r="B17" s="17" t="s">
        <v>25</v>
      </c>
      <c r="C17" s="18">
        <f t="shared" si="9"/>
        <v>228735</v>
      </c>
      <c r="D17" s="19">
        <f>E17*C42</f>
        <v>11960</v>
      </c>
      <c r="E17" s="20">
        <v>40.0</v>
      </c>
      <c r="F17" s="19">
        <f>G17*C42</f>
        <v>37375</v>
      </c>
      <c r="G17" s="20">
        <v>125.0</v>
      </c>
      <c r="H17" s="19">
        <f>I17*C42</f>
        <v>44850</v>
      </c>
      <c r="I17" s="20">
        <v>150.0</v>
      </c>
      <c r="J17" s="19">
        <f>K17*C42</f>
        <v>59800</v>
      </c>
      <c r="K17" s="20">
        <v>200.0</v>
      </c>
      <c r="L17" s="19">
        <f>M17*C42</f>
        <v>74750</v>
      </c>
      <c r="M17" s="20">
        <v>250.0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1"/>
      <c r="B18" s="24" t="s">
        <v>26</v>
      </c>
      <c r="C18" s="18">
        <f t="shared" si="9"/>
        <v>1606500</v>
      </c>
      <c r="D18" s="19">
        <f>E18*C46</f>
        <v>84000</v>
      </c>
      <c r="E18" s="20">
        <v>40.0</v>
      </c>
      <c r="F18" s="19">
        <f>G18*C46</f>
        <v>262500</v>
      </c>
      <c r="G18" s="20">
        <v>125.0</v>
      </c>
      <c r="H18" s="19">
        <f>I18*C46</f>
        <v>315000</v>
      </c>
      <c r="I18" s="20">
        <v>150.0</v>
      </c>
      <c r="J18" s="19">
        <f>K18*C46</f>
        <v>420000</v>
      </c>
      <c r="K18" s="20">
        <v>200.0</v>
      </c>
      <c r="L18" s="19">
        <f>M18*C46</f>
        <v>525000</v>
      </c>
      <c r="M18" s="20">
        <v>250.0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1"/>
      <c r="B19" s="17" t="s">
        <v>27</v>
      </c>
      <c r="C19" s="18">
        <f t="shared" si="9"/>
        <v>97474</v>
      </c>
      <c r="D19" s="19">
        <f t="shared" ref="D19:D21" si="10">E19*C42</f>
        <v>5980</v>
      </c>
      <c r="E19" s="20">
        <v>20.0</v>
      </c>
      <c r="F19" s="19">
        <f t="shared" ref="F19:F21" si="11">G19*C42</f>
        <v>11960</v>
      </c>
      <c r="G19" s="20">
        <v>40.0</v>
      </c>
      <c r="H19" s="19">
        <f t="shared" ref="H19:H21" si="12">I19*C42</f>
        <v>19734</v>
      </c>
      <c r="I19" s="20">
        <v>66.0</v>
      </c>
      <c r="J19" s="19">
        <f t="shared" ref="J19:J21" si="13">K19*C42</f>
        <v>26910</v>
      </c>
      <c r="K19" s="20">
        <v>90.0</v>
      </c>
      <c r="L19" s="19">
        <f t="shared" ref="L19:L21" si="14">M19*C42</f>
        <v>32890</v>
      </c>
      <c r="M19" s="20">
        <v>110.0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1"/>
      <c r="B20" s="17" t="s">
        <v>28</v>
      </c>
      <c r="C20" s="18">
        <f t="shared" si="9"/>
        <v>455100</v>
      </c>
      <c r="D20" s="19">
        <f t="shared" si="10"/>
        <v>11100</v>
      </c>
      <c r="E20" s="20">
        <v>6.0</v>
      </c>
      <c r="F20" s="19">
        <f t="shared" si="11"/>
        <v>55500</v>
      </c>
      <c r="G20" s="20">
        <v>30.0</v>
      </c>
      <c r="H20" s="19">
        <f t="shared" si="12"/>
        <v>86950</v>
      </c>
      <c r="I20" s="20">
        <v>47.0</v>
      </c>
      <c r="J20" s="19">
        <f t="shared" si="13"/>
        <v>135050</v>
      </c>
      <c r="K20" s="20">
        <v>73.0</v>
      </c>
      <c r="L20" s="19">
        <f t="shared" si="14"/>
        <v>166500</v>
      </c>
      <c r="M20" s="20">
        <v>90.0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25" t="s">
        <v>29</v>
      </c>
      <c r="C21" s="18">
        <f t="shared" si="9"/>
        <v>617250</v>
      </c>
      <c r="D21" s="19">
        <f t="shared" si="10"/>
        <v>9000</v>
      </c>
      <c r="E21" s="20">
        <f>E20</f>
        <v>6</v>
      </c>
      <c r="F21" s="19">
        <f t="shared" si="11"/>
        <v>60000</v>
      </c>
      <c r="G21" s="20">
        <v>40.0</v>
      </c>
      <c r="H21" s="19">
        <f t="shared" si="12"/>
        <v>112500</v>
      </c>
      <c r="I21" s="26">
        <f>G21*70%+I20</f>
        <v>75</v>
      </c>
      <c r="J21" s="19">
        <f t="shared" si="13"/>
        <v>188250</v>
      </c>
      <c r="K21" s="26">
        <f>I21*70%+K20</f>
        <v>125.5</v>
      </c>
      <c r="L21" s="19">
        <f t="shared" si="14"/>
        <v>247500</v>
      </c>
      <c r="M21" s="26">
        <v>165.0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17" t="s">
        <v>20</v>
      </c>
      <c r="C22" s="18">
        <f t="shared" ref="C22:D22" si="15">SUM(C15:C21)</f>
        <v>5129259</v>
      </c>
      <c r="D22" s="19">
        <f t="shared" si="15"/>
        <v>231240</v>
      </c>
      <c r="E22" s="20"/>
      <c r="F22" s="19">
        <f>SUM(F15:F21)</f>
        <v>698335</v>
      </c>
      <c r="G22" s="20"/>
      <c r="H22" s="19">
        <f>SUM(H15:H21)</f>
        <v>1007034</v>
      </c>
      <c r="I22" s="20"/>
      <c r="J22" s="19">
        <f>SUM(J15:J21)</f>
        <v>1366010</v>
      </c>
      <c r="K22" s="20"/>
      <c r="L22" s="19">
        <f>SUM(L15:L21)</f>
        <v>1826640</v>
      </c>
      <c r="M22" s="20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17"/>
      <c r="C23" s="27"/>
      <c r="D23" s="28"/>
      <c r="E23" s="20"/>
      <c r="F23" s="28"/>
      <c r="G23" s="20"/>
      <c r="H23" s="28"/>
      <c r="I23" s="20"/>
      <c r="J23" s="28"/>
      <c r="K23" s="20"/>
      <c r="L23" s="28"/>
      <c r="M23" s="20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29" t="s">
        <v>30</v>
      </c>
      <c r="C24" s="30">
        <f>D24+F24+H24+J24+L24</f>
        <v>3162684</v>
      </c>
      <c r="D24" s="30">
        <f>D22-D13</f>
        <v>-30635</v>
      </c>
      <c r="E24" s="30"/>
      <c r="F24" s="30">
        <f>F22-F13</f>
        <v>377835</v>
      </c>
      <c r="G24" s="30"/>
      <c r="H24" s="30">
        <f>H22-H13</f>
        <v>602034</v>
      </c>
      <c r="I24" s="30"/>
      <c r="J24" s="30">
        <f>J22-J13</f>
        <v>904010</v>
      </c>
      <c r="K24" s="30"/>
      <c r="L24" s="30">
        <f>L22-L13</f>
        <v>1309440</v>
      </c>
      <c r="M24" s="31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25" t="s">
        <v>31</v>
      </c>
      <c r="C25" s="19"/>
      <c r="D25" s="19">
        <f>D24*0.2</f>
        <v>-6127</v>
      </c>
      <c r="E25" s="19"/>
      <c r="F25" s="19">
        <f>F24*0.2</f>
        <v>75567</v>
      </c>
      <c r="G25" s="19"/>
      <c r="H25" s="19">
        <f>H24*0.2</f>
        <v>120406.8</v>
      </c>
      <c r="I25" s="19"/>
      <c r="J25" s="19">
        <f>J24*0.2</f>
        <v>180802</v>
      </c>
      <c r="K25" s="19"/>
      <c r="L25" s="19">
        <f>L24*0.2</f>
        <v>261888</v>
      </c>
      <c r="M25" s="20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17" t="s">
        <v>32</v>
      </c>
      <c r="C26" s="19">
        <f>D26+F26+H26+J26+L26</f>
        <v>1106939.4</v>
      </c>
      <c r="D26" s="19">
        <f>D24*C45</f>
        <v>-10722.25</v>
      </c>
      <c r="E26" s="19"/>
      <c r="F26" s="19">
        <f>F24*C45</f>
        <v>132242.25</v>
      </c>
      <c r="G26" s="19"/>
      <c r="H26" s="19">
        <f>H24*C45</f>
        <v>210711.9</v>
      </c>
      <c r="I26" s="19"/>
      <c r="J26" s="19">
        <f>J24*C45</f>
        <v>316403.5</v>
      </c>
      <c r="K26" s="19"/>
      <c r="L26" s="19">
        <f>L24*C45</f>
        <v>458304</v>
      </c>
      <c r="M26" s="20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17" t="s">
        <v>33</v>
      </c>
      <c r="C27" s="32"/>
      <c r="D27" s="32">
        <f>D24-D25-D26</f>
        <v>-13785.75</v>
      </c>
      <c r="E27" s="32"/>
      <c r="F27" s="32">
        <f>F24-F25-F26</f>
        <v>170025.75</v>
      </c>
      <c r="G27" s="32"/>
      <c r="H27" s="32">
        <f>H24-H25-H26</f>
        <v>270915.3</v>
      </c>
      <c r="I27" s="32"/>
      <c r="J27" s="32">
        <f>J24-J25-J26</f>
        <v>406804.5</v>
      </c>
      <c r="K27" s="32"/>
      <c r="L27" s="32">
        <f>L24-L25-L26</f>
        <v>589248</v>
      </c>
      <c r="M27" s="33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36" t="s">
        <v>34</v>
      </c>
      <c r="C29" s="37">
        <v>1.0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38"/>
      <c r="C30" s="5"/>
      <c r="D30" s="5"/>
      <c r="E30" s="5"/>
      <c r="F30" s="38"/>
      <c r="G30" s="38"/>
      <c r="H30" s="38"/>
      <c r="I30" s="38"/>
      <c r="J30" s="38"/>
      <c r="K30" s="38"/>
      <c r="L30" s="38"/>
      <c r="M30" s="38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39" t="s">
        <v>35</v>
      </c>
      <c r="C31" s="4"/>
      <c r="D31" s="40"/>
      <c r="E31" s="40"/>
      <c r="F31" s="35"/>
      <c r="G31" s="38"/>
      <c r="H31" s="38"/>
      <c r="I31" s="38"/>
      <c r="J31" s="38"/>
      <c r="K31" s="38"/>
      <c r="L31" s="38"/>
      <c r="M31" s="38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41" t="s">
        <v>36</v>
      </c>
      <c r="C32" s="42">
        <v>1500.0</v>
      </c>
      <c r="D32" s="5"/>
      <c r="E32" s="5"/>
      <c r="F32" s="35"/>
      <c r="G32" s="38"/>
      <c r="H32" s="38"/>
      <c r="I32" s="38"/>
      <c r="J32" s="38"/>
      <c r="K32" s="38"/>
      <c r="L32" s="38"/>
      <c r="M32" s="38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41" t="s">
        <v>37</v>
      </c>
      <c r="C33" s="42">
        <v>200.0</v>
      </c>
      <c r="D33" s="5"/>
      <c r="E33" s="5"/>
      <c r="F33" s="35"/>
      <c r="G33" s="38"/>
      <c r="H33" s="38"/>
      <c r="I33" s="38"/>
      <c r="J33" s="38"/>
      <c r="K33" s="38"/>
      <c r="L33" s="38"/>
      <c r="M33" s="38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41" t="s">
        <v>38</v>
      </c>
      <c r="C34" s="42">
        <v>50.0</v>
      </c>
      <c r="D34" s="5"/>
      <c r="E34" s="5"/>
      <c r="F34" s="35"/>
      <c r="G34" s="38"/>
      <c r="H34" s="38"/>
      <c r="I34" s="38"/>
      <c r="J34" s="38"/>
      <c r="K34" s="38"/>
      <c r="L34" s="38"/>
      <c r="M34" s="38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41" t="s">
        <v>39</v>
      </c>
      <c r="C35" s="42">
        <v>6000.0</v>
      </c>
      <c r="D35" s="5"/>
      <c r="E35" s="5"/>
      <c r="F35" s="35"/>
      <c r="G35" s="38"/>
      <c r="H35" s="38"/>
      <c r="I35" s="38"/>
      <c r="J35" s="38"/>
      <c r="K35" s="38"/>
      <c r="L35" s="38"/>
      <c r="M35" s="38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41" t="s">
        <v>40</v>
      </c>
      <c r="C36" s="42">
        <v>75.0</v>
      </c>
      <c r="D36" s="5"/>
      <c r="E36" s="5"/>
      <c r="F36" s="1"/>
      <c r="G36" s="1"/>
      <c r="H36" s="1"/>
      <c r="I36" s="1"/>
      <c r="J36" s="1"/>
      <c r="K36" s="1"/>
      <c r="L36" s="1"/>
      <c r="M36" s="1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"/>
      <c r="B37" s="41" t="s">
        <v>41</v>
      </c>
      <c r="C37" s="42">
        <v>3.41</v>
      </c>
      <c r="D37" s="5"/>
      <c r="E37" s="5"/>
      <c r="F37" s="1"/>
      <c r="G37" s="1"/>
      <c r="H37" s="1"/>
      <c r="I37" s="1"/>
      <c r="J37" s="1"/>
      <c r="K37" s="1"/>
      <c r="L37" s="1"/>
      <c r="M37" s="1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41" t="s">
        <v>42</v>
      </c>
      <c r="C38" s="43">
        <v>0.1</v>
      </c>
      <c r="D38" s="5"/>
      <c r="E38" s="5"/>
      <c r="F38" s="1"/>
      <c r="G38" s="1"/>
      <c r="H38" s="1"/>
      <c r="I38" s="1"/>
      <c r="J38" s="1"/>
      <c r="K38" s="1"/>
      <c r="L38" s="1"/>
      <c r="M38" s="1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"/>
      <c r="B39" s="41" t="s">
        <v>43</v>
      </c>
      <c r="C39" s="42">
        <v>20000.0</v>
      </c>
      <c r="D39" s="5"/>
      <c r="E39" s="5"/>
      <c r="F39" s="1"/>
      <c r="G39" s="1"/>
      <c r="H39" s="1"/>
      <c r="I39" s="1"/>
      <c r="J39" s="1"/>
      <c r="K39" s="1"/>
      <c r="L39" s="1"/>
      <c r="M39" s="1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"/>
      <c r="B40" s="41" t="s">
        <v>44</v>
      </c>
      <c r="C40" s="42">
        <v>12000.0</v>
      </c>
      <c r="D40" s="5"/>
      <c r="E40" s="5"/>
      <c r="F40" s="1"/>
      <c r="G40" s="1"/>
      <c r="H40" s="1"/>
      <c r="I40" s="1"/>
      <c r="J40" s="1"/>
      <c r="K40" s="1"/>
      <c r="L40" s="1"/>
      <c r="M40" s="1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41" t="s">
        <v>45</v>
      </c>
      <c r="C41" s="42">
        <v>21000.0</v>
      </c>
      <c r="D41" s="5"/>
      <c r="E41" s="5"/>
      <c r="F41" s="1"/>
      <c r="G41" s="1"/>
      <c r="H41" s="1"/>
      <c r="I41" s="1"/>
      <c r="J41" s="1"/>
      <c r="K41" s="1"/>
      <c r="L41" s="1"/>
      <c r="M41" s="1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"/>
      <c r="B42" s="41" t="s">
        <v>46</v>
      </c>
      <c r="C42" s="42">
        <v>299.0</v>
      </c>
      <c r="D42" s="5"/>
      <c r="E42" s="5"/>
      <c r="F42" s="1"/>
      <c r="G42" s="1"/>
      <c r="H42" s="1"/>
      <c r="I42" s="1"/>
      <c r="J42" s="1"/>
      <c r="K42" s="1"/>
      <c r="L42" s="1"/>
      <c r="M42" s="1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"/>
      <c r="B43" s="41" t="s">
        <v>47</v>
      </c>
      <c r="C43" s="42">
        <v>1850.0</v>
      </c>
      <c r="D43" s="5"/>
      <c r="E43" s="5"/>
      <c r="F43" s="1"/>
      <c r="G43" s="1"/>
      <c r="H43" s="1"/>
      <c r="I43" s="1"/>
      <c r="J43" s="1"/>
      <c r="K43" s="1"/>
      <c r="L43" s="1"/>
      <c r="M43" s="1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"/>
      <c r="B44" s="44" t="s">
        <v>48</v>
      </c>
      <c r="C44" s="42">
        <v>1500.0</v>
      </c>
      <c r="D44" s="5"/>
      <c r="E44" s="5"/>
      <c r="F44" s="1"/>
      <c r="G44" s="1"/>
      <c r="H44" s="1"/>
      <c r="I44" s="1"/>
      <c r="J44" s="1"/>
      <c r="K44" s="1"/>
      <c r="L44" s="1"/>
      <c r="M44" s="1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1"/>
      <c r="B45" s="42" t="s">
        <v>49</v>
      </c>
      <c r="C45" s="43">
        <v>0.35</v>
      </c>
      <c r="D45" s="5"/>
      <c r="E45" s="5"/>
      <c r="F45" s="1"/>
      <c r="G45" s="1"/>
      <c r="H45" s="1"/>
      <c r="I45" s="1"/>
      <c r="J45" s="1"/>
      <c r="K45" s="1"/>
      <c r="L45" s="1"/>
      <c r="M45" s="1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1"/>
      <c r="B46" s="45" t="s">
        <v>50</v>
      </c>
      <c r="C46" s="42">
        <v>2100.0</v>
      </c>
      <c r="D46" s="46"/>
      <c r="E46" s="46"/>
      <c r="F46" s="1"/>
      <c r="G46" s="1"/>
      <c r="H46" s="1"/>
      <c r="I46" s="1"/>
      <c r="J46" s="1"/>
      <c r="K46" s="1"/>
      <c r="L46" s="1"/>
      <c r="M46" s="1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1"/>
      <c r="B47" s="34"/>
      <c r="C47" s="46"/>
      <c r="D47" s="46"/>
      <c r="E47" s="46"/>
      <c r="F47" s="1"/>
      <c r="G47" s="1"/>
      <c r="H47" s="1"/>
      <c r="I47" s="1"/>
      <c r="J47" s="1"/>
      <c r="K47" s="1"/>
      <c r="L47" s="1"/>
      <c r="M47" s="1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1"/>
      <c r="B48" s="39" t="s">
        <v>51</v>
      </c>
      <c r="C48" s="4"/>
      <c r="D48" s="1"/>
      <c r="E48" s="1"/>
      <c r="F48" s="1"/>
      <c r="G48" s="1"/>
      <c r="H48" s="1"/>
      <c r="I48" s="1"/>
      <c r="J48" s="1"/>
      <c r="K48" s="1"/>
      <c r="L48" s="1"/>
      <c r="M48" s="1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1"/>
      <c r="B49" s="47" t="s">
        <v>52</v>
      </c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1"/>
      <c r="B50" s="47" t="s">
        <v>53</v>
      </c>
      <c r="C50" s="4"/>
      <c r="D50" s="1"/>
      <c r="E50" s="1"/>
      <c r="F50" s="1"/>
      <c r="G50" s="1"/>
      <c r="H50" s="1"/>
      <c r="I50" s="1"/>
      <c r="J50" s="1"/>
      <c r="K50" s="1"/>
      <c r="L50" s="1"/>
      <c r="M50" s="1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1"/>
      <c r="B51" s="47" t="s">
        <v>54</v>
      </c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D3:E3"/>
    <mergeCell ref="F3:G3"/>
    <mergeCell ref="B31:C31"/>
    <mergeCell ref="B48:C48"/>
    <mergeCell ref="B49:C49"/>
    <mergeCell ref="B50:C50"/>
    <mergeCell ref="B51:C51"/>
    <mergeCell ref="H3:I3"/>
    <mergeCell ref="J3:K3"/>
    <mergeCell ref="B1:M1"/>
    <mergeCell ref="D2:E2"/>
    <mergeCell ref="F2:G2"/>
    <mergeCell ref="H2:I2"/>
    <mergeCell ref="J2:K2"/>
    <mergeCell ref="L2:M2"/>
    <mergeCell ref="B3:C3"/>
    <mergeCell ref="L3:M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50.63"/>
    <col customWidth="1" min="3" max="3" width="13.63"/>
    <col customWidth="1" min="4" max="4" width="48.5"/>
    <col customWidth="1" min="5" max="23" width="11.13"/>
  </cols>
  <sheetData>
    <row r="1" ht="15.75" customHeight="1">
      <c r="A1" s="48"/>
      <c r="B1" s="49"/>
      <c r="C1" s="50"/>
      <c r="D1" s="50"/>
      <c r="E1" s="50"/>
      <c r="F1" s="49"/>
      <c r="G1" s="49"/>
      <c r="H1" s="49"/>
      <c r="I1" s="49"/>
      <c r="J1" s="49"/>
      <c r="K1" s="49"/>
      <c r="L1" s="49"/>
      <c r="M1" s="49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ht="15.75" customHeight="1">
      <c r="A2" s="48"/>
      <c r="B2" s="39" t="s">
        <v>35</v>
      </c>
      <c r="C2" s="4"/>
      <c r="D2" s="51" t="s">
        <v>55</v>
      </c>
      <c r="E2" s="50"/>
      <c r="F2" s="52"/>
      <c r="G2" s="49"/>
      <c r="H2" s="49"/>
      <c r="I2" s="49"/>
      <c r="J2" s="49"/>
      <c r="K2" s="49"/>
      <c r="L2" s="49"/>
      <c r="M2" s="49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5.75" customHeight="1">
      <c r="A3" s="48"/>
      <c r="B3" s="41" t="s">
        <v>36</v>
      </c>
      <c r="C3" s="53">
        <v>1500.0</v>
      </c>
      <c r="D3" s="54" t="s">
        <v>56</v>
      </c>
      <c r="E3" s="50"/>
      <c r="F3" s="52"/>
      <c r="G3" s="49"/>
      <c r="H3" s="49"/>
      <c r="I3" s="49"/>
      <c r="J3" s="49"/>
      <c r="K3" s="49"/>
      <c r="L3" s="49"/>
      <c r="M3" s="49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ht="15.75" customHeight="1">
      <c r="A4" s="48"/>
      <c r="B4" s="45" t="s">
        <v>50</v>
      </c>
      <c r="C4" s="53">
        <v>2100.0</v>
      </c>
      <c r="D4" s="54" t="s">
        <v>56</v>
      </c>
      <c r="E4" s="48"/>
      <c r="F4" s="48"/>
      <c r="G4" s="48"/>
      <c r="H4" s="48"/>
      <c r="I4" s="48"/>
      <c r="J4" s="48"/>
      <c r="K4" s="48"/>
      <c r="L4" s="48"/>
      <c r="M4" s="48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ht="15.75" customHeight="1">
      <c r="A5" s="48"/>
      <c r="B5" s="41" t="s">
        <v>37</v>
      </c>
      <c r="C5" s="53">
        <v>199.0</v>
      </c>
      <c r="D5" s="54" t="s">
        <v>57</v>
      </c>
      <c r="E5" s="50"/>
      <c r="F5" s="52"/>
      <c r="G5" s="49"/>
      <c r="H5" s="49"/>
      <c r="I5" s="49"/>
      <c r="J5" s="49"/>
      <c r="K5" s="49"/>
      <c r="L5" s="49"/>
      <c r="M5" s="49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ht="38.25" customHeight="1">
      <c r="A6" s="48"/>
      <c r="B6" s="41" t="s">
        <v>38</v>
      </c>
      <c r="C6" s="53">
        <v>50.0</v>
      </c>
      <c r="D6" s="54" t="s">
        <v>58</v>
      </c>
      <c r="E6" s="50"/>
      <c r="F6" s="48"/>
      <c r="G6" s="48"/>
      <c r="H6" s="48"/>
      <c r="I6" s="48"/>
      <c r="J6" s="48"/>
      <c r="K6" s="48"/>
      <c r="L6" s="48"/>
      <c r="M6" s="48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ht="36.0" customHeight="1">
      <c r="A7" s="48"/>
      <c r="B7" s="41" t="s">
        <v>39</v>
      </c>
      <c r="C7" s="53">
        <v>5.0</v>
      </c>
      <c r="D7" s="54" t="s">
        <v>59</v>
      </c>
      <c r="E7" s="50"/>
      <c r="F7" s="48"/>
      <c r="G7" s="48"/>
      <c r="H7" s="48"/>
      <c r="I7" s="48"/>
      <c r="J7" s="48"/>
      <c r="K7" s="48"/>
      <c r="L7" s="48"/>
      <c r="M7" s="48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ht="15.75" customHeight="1">
      <c r="A8" s="48"/>
      <c r="B8" s="41" t="s">
        <v>40</v>
      </c>
      <c r="C8" s="53">
        <v>75.0</v>
      </c>
      <c r="D8" s="54" t="s">
        <v>60</v>
      </c>
      <c r="E8" s="50"/>
      <c r="F8" s="48"/>
      <c r="G8" s="48"/>
      <c r="H8" s="48"/>
      <c r="I8" s="48"/>
      <c r="J8" s="48"/>
      <c r="K8" s="48"/>
      <c r="L8" s="48"/>
      <c r="M8" s="48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ht="15.75" customHeight="1">
      <c r="A9" s="48"/>
      <c r="B9" s="41" t="s">
        <v>42</v>
      </c>
      <c r="C9" s="55">
        <v>0.1</v>
      </c>
      <c r="D9" s="54" t="s">
        <v>61</v>
      </c>
      <c r="E9" s="50"/>
      <c r="F9" s="48"/>
      <c r="G9" s="48"/>
      <c r="H9" s="48"/>
      <c r="I9" s="48"/>
      <c r="J9" s="48"/>
      <c r="K9" s="48"/>
      <c r="L9" s="48"/>
      <c r="M9" s="48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ht="15.75" customHeight="1">
      <c r="A10" s="48"/>
      <c r="B10" s="41" t="s">
        <v>62</v>
      </c>
      <c r="C10" s="53">
        <v>20000.0</v>
      </c>
      <c r="D10" s="54" t="s">
        <v>63</v>
      </c>
      <c r="E10" s="50"/>
      <c r="F10" s="48"/>
      <c r="G10" s="48"/>
      <c r="H10" s="48"/>
      <c r="I10" s="48"/>
      <c r="J10" s="48"/>
      <c r="K10" s="48"/>
      <c r="L10" s="48"/>
      <c r="M10" s="48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ht="15.75" customHeight="1">
      <c r="A11" s="48"/>
      <c r="B11" s="41" t="s">
        <v>44</v>
      </c>
      <c r="C11" s="53">
        <v>12000.0</v>
      </c>
      <c r="D11" s="54" t="s">
        <v>64</v>
      </c>
      <c r="E11" s="50"/>
      <c r="F11" s="48"/>
      <c r="G11" s="48"/>
      <c r="H11" s="48"/>
      <c r="I11" s="48"/>
      <c r="J11" s="48"/>
      <c r="K11" s="48"/>
      <c r="L11" s="48"/>
      <c r="M11" s="48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ht="15.75" customHeight="1">
      <c r="A12" s="48"/>
      <c r="B12" s="41" t="s">
        <v>45</v>
      </c>
      <c r="C12" s="53">
        <v>21000.0</v>
      </c>
      <c r="D12" s="54" t="s">
        <v>63</v>
      </c>
      <c r="E12" s="50"/>
      <c r="F12" s="48"/>
      <c r="G12" s="48"/>
      <c r="H12" s="48"/>
      <c r="I12" s="48"/>
      <c r="J12" s="48"/>
      <c r="K12" s="48"/>
      <c r="L12" s="48"/>
      <c r="M12" s="48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ht="15.75" customHeight="1">
      <c r="A13" s="48"/>
      <c r="B13" s="41" t="s">
        <v>46</v>
      </c>
      <c r="C13" s="53">
        <v>299.0</v>
      </c>
      <c r="D13" s="54" t="s">
        <v>65</v>
      </c>
      <c r="E13" s="50"/>
      <c r="F13" s="48"/>
      <c r="G13" s="48"/>
      <c r="H13" s="48"/>
      <c r="I13" s="48"/>
      <c r="J13" s="48"/>
      <c r="K13" s="48"/>
      <c r="L13" s="48"/>
      <c r="M13" s="48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ht="15.75" customHeight="1">
      <c r="A14" s="48"/>
      <c r="B14" s="41" t="s">
        <v>66</v>
      </c>
      <c r="C14" s="53">
        <v>1850.0</v>
      </c>
      <c r="D14" s="54" t="s">
        <v>67</v>
      </c>
      <c r="E14" s="50"/>
      <c r="F14" s="48"/>
      <c r="G14" s="48"/>
      <c r="H14" s="48"/>
      <c r="I14" s="48"/>
      <c r="J14" s="48"/>
      <c r="K14" s="48"/>
      <c r="L14" s="48"/>
      <c r="M14" s="48"/>
      <c r="N14" s="50"/>
      <c r="O14" s="50"/>
      <c r="P14" s="50"/>
      <c r="Q14" s="50"/>
      <c r="R14" s="50"/>
      <c r="S14" s="50"/>
      <c r="T14" s="50"/>
      <c r="U14" s="50"/>
      <c r="V14" s="50"/>
      <c r="W14" s="50"/>
    </row>
    <row r="15" ht="15.75" customHeight="1">
      <c r="A15" s="48"/>
      <c r="B15" s="44" t="s">
        <v>48</v>
      </c>
      <c r="C15" s="53">
        <v>1500.0</v>
      </c>
      <c r="D15" s="56" t="s">
        <v>68</v>
      </c>
      <c r="E15" s="57"/>
      <c r="F15" s="48"/>
      <c r="G15" s="48"/>
      <c r="H15" s="48"/>
      <c r="I15" s="48"/>
      <c r="J15" s="48"/>
      <c r="K15" s="48"/>
      <c r="L15" s="48"/>
      <c r="M15" s="48"/>
      <c r="N15" s="50"/>
      <c r="O15" s="50"/>
      <c r="P15" s="50"/>
      <c r="Q15" s="50"/>
      <c r="R15" s="50"/>
      <c r="S15" s="50"/>
      <c r="T15" s="50"/>
      <c r="U15" s="50"/>
      <c r="V15" s="50"/>
      <c r="W15" s="50"/>
    </row>
    <row r="16" ht="15.75" customHeight="1">
      <c r="A16" s="48"/>
      <c r="B16" s="34"/>
      <c r="C16" s="46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  <c r="O16" s="50"/>
      <c r="P16" s="50"/>
      <c r="Q16" s="50"/>
      <c r="R16" s="50"/>
      <c r="S16" s="50"/>
      <c r="T16" s="50"/>
      <c r="U16" s="50"/>
      <c r="V16" s="50"/>
      <c r="W16" s="50"/>
    </row>
    <row r="17" ht="15.75" customHeight="1">
      <c r="A17" s="48"/>
      <c r="B17" s="39" t="s">
        <v>51</v>
      </c>
      <c r="C17" s="4"/>
      <c r="D17" s="51" t="s">
        <v>55</v>
      </c>
      <c r="E17" s="48"/>
      <c r="F17" s="48"/>
      <c r="G17" s="48"/>
      <c r="H17" s="48"/>
      <c r="I17" s="48"/>
      <c r="J17" s="48"/>
      <c r="K17" s="48"/>
      <c r="L17" s="48"/>
      <c r="M17" s="48"/>
      <c r="N17" s="50"/>
      <c r="O17" s="50"/>
      <c r="P17" s="50"/>
      <c r="Q17" s="50"/>
      <c r="R17" s="50"/>
      <c r="S17" s="50"/>
      <c r="T17" s="50"/>
      <c r="U17" s="50"/>
      <c r="V17" s="50"/>
      <c r="W17" s="50"/>
    </row>
    <row r="18" ht="15.75" customHeight="1">
      <c r="A18" s="48"/>
      <c r="B18" s="47" t="s">
        <v>52</v>
      </c>
      <c r="C18" s="3"/>
      <c r="D18" s="58" t="s">
        <v>69</v>
      </c>
      <c r="E18" s="48"/>
      <c r="F18" s="48"/>
      <c r="G18" s="48"/>
      <c r="H18" s="48"/>
      <c r="I18" s="48"/>
      <c r="J18" s="48"/>
      <c r="K18" s="48"/>
      <c r="L18" s="48"/>
      <c r="M18" s="48"/>
      <c r="N18" s="50"/>
      <c r="O18" s="50"/>
      <c r="P18" s="50"/>
      <c r="Q18" s="50"/>
      <c r="R18" s="50"/>
      <c r="S18" s="50"/>
      <c r="T18" s="50"/>
      <c r="U18" s="50"/>
      <c r="V18" s="50"/>
      <c r="W18" s="50"/>
    </row>
    <row r="19" ht="15.75" customHeight="1">
      <c r="A19" s="50"/>
      <c r="B19" s="47" t="s">
        <v>53</v>
      </c>
      <c r="C19" s="3"/>
      <c r="D19" s="58" t="s">
        <v>70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</row>
    <row r="20" ht="15.75" customHeight="1">
      <c r="A20" s="50"/>
      <c r="B20" s="47" t="s">
        <v>54</v>
      </c>
      <c r="C20" s="3"/>
      <c r="D20" s="58" t="s">
        <v>71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ht="15.7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</row>
    <row r="22" ht="15.7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</row>
    <row r="23" ht="15.75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</row>
    <row r="24" ht="15.75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</row>
    <row r="25" ht="15.75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</row>
    <row r="26" ht="15.7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</row>
    <row r="27" ht="15.75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</row>
    <row r="28" ht="15.7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</row>
    <row r="29" ht="15.75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</row>
    <row r="30" ht="15.75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</row>
    <row r="31" ht="15.75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</row>
    <row r="32" ht="15.7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</row>
    <row r="33" ht="15.75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ht="15.7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</row>
    <row r="35" ht="15.75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</row>
    <row r="36" ht="15.7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</row>
    <row r="37" ht="15.75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</row>
    <row r="38" ht="15.7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</row>
    <row r="39" ht="15.7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</row>
    <row r="40" ht="15.7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</row>
    <row r="41" ht="15.7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</row>
    <row r="42" ht="15.7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</row>
    <row r="43" ht="15.7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</row>
    <row r="44" ht="15.7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ht="15.7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</row>
    <row r="46" ht="15.7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</row>
    <row r="47" ht="15.7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</row>
    <row r="48" ht="15.7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</row>
    <row r="49" ht="15.75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</row>
    <row r="50" ht="15.75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</row>
    <row r="51" ht="15.7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</row>
    <row r="52" ht="15.75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</row>
    <row r="53" ht="15.75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</row>
    <row r="54" ht="15.75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</row>
    <row r="55" ht="15.75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</row>
    <row r="56" ht="15.75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</row>
    <row r="57" ht="15.75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</row>
    <row r="58" ht="15.75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</row>
    <row r="59" ht="15.75" customHeigh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</row>
    <row r="60" ht="15.75" customHeight="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</row>
    <row r="61" ht="15.75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</row>
    <row r="62" ht="15.75" customHeight="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</row>
    <row r="63" ht="15.75" customHeight="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</row>
    <row r="64" ht="15.75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</row>
    <row r="65" ht="15.7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</row>
    <row r="66" ht="15.7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</row>
    <row r="67" ht="15.75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</row>
    <row r="68" ht="15.7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</row>
    <row r="69" ht="15.7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</row>
    <row r="70" ht="15.7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</row>
    <row r="71" ht="15.7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</row>
    <row r="72" ht="15.7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</row>
    <row r="73" ht="15.7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</row>
    <row r="74" ht="15.7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</row>
    <row r="75" ht="15.7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</row>
    <row r="76" ht="15.7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</row>
    <row r="77" ht="15.75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</row>
    <row r="78" ht="15.75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</row>
    <row r="79" ht="15.75" customHeight="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</row>
    <row r="80" ht="15.7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</row>
    <row r="81" ht="15.7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</row>
    <row r="82" ht="15.75" customHeight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</row>
    <row r="83" ht="15.7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</row>
    <row r="84" ht="15.7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</row>
    <row r="85" ht="15.7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</row>
    <row r="86" ht="15.75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ht="15.75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ht="15.75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ht="15.75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</row>
    <row r="90" ht="15.7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</row>
    <row r="91" ht="15.75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</row>
    <row r="92" ht="15.75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</row>
    <row r="93" ht="15.7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</row>
    <row r="94" ht="15.7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</row>
    <row r="95" ht="15.7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</row>
    <row r="96" ht="15.75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</row>
    <row r="97" ht="15.75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</row>
    <row r="98" ht="15.75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</row>
    <row r="99" ht="15.75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</row>
    <row r="100" ht="15.75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</row>
    <row r="101" ht="15.75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</row>
    <row r="102" ht="15.75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</row>
    <row r="103" ht="15.75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</row>
    <row r="104" ht="15.7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</row>
    <row r="105" ht="15.7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</row>
    <row r="106" ht="15.75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</row>
    <row r="107" ht="15.7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</row>
    <row r="108" ht="15.7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</row>
    <row r="109" ht="15.7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</row>
    <row r="110" ht="15.7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</row>
    <row r="111" ht="15.75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</row>
    <row r="112" ht="15.75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</row>
    <row r="113" ht="15.75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</row>
    <row r="114" ht="15.75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</row>
    <row r="115" ht="15.7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</row>
    <row r="116" ht="15.7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</row>
    <row r="117" ht="15.7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</row>
    <row r="118" ht="15.75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</row>
    <row r="119" ht="15.75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</row>
    <row r="120" ht="15.75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</row>
    <row r="121" ht="15.75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</row>
    <row r="122" ht="15.75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</row>
    <row r="123" ht="15.75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</row>
    <row r="124" ht="15.75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</row>
    <row r="125" ht="15.75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</row>
    <row r="126" ht="15.75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</row>
    <row r="127" ht="15.75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</row>
    <row r="128" ht="15.75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</row>
    <row r="129" ht="15.75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</row>
    <row r="130" ht="15.75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</row>
    <row r="131" ht="15.75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</row>
    <row r="132" ht="15.7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</row>
    <row r="133" ht="15.7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</row>
    <row r="134" ht="15.7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</row>
    <row r="135" ht="15.7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</row>
    <row r="136" ht="15.7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</row>
    <row r="137" ht="15.7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</row>
    <row r="138" ht="15.7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</row>
    <row r="139" ht="15.75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</row>
    <row r="140" ht="15.75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</row>
    <row r="141" ht="15.75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</row>
    <row r="142" ht="15.7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</row>
    <row r="143" ht="15.75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</row>
    <row r="144" ht="15.75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</row>
    <row r="145" ht="15.7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</row>
    <row r="146" ht="15.75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</row>
    <row r="147" ht="15.7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</row>
    <row r="148" ht="15.7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</row>
    <row r="149" ht="15.7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</row>
    <row r="150" ht="15.75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</row>
    <row r="151" ht="15.75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</row>
    <row r="152" ht="15.75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</row>
    <row r="153" ht="15.75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</row>
    <row r="154" ht="15.75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</row>
    <row r="155" ht="15.75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</row>
    <row r="156" ht="15.75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</row>
    <row r="157" ht="15.7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</row>
    <row r="158" ht="15.7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</row>
    <row r="159" ht="15.75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</row>
    <row r="160" ht="15.75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</row>
    <row r="161" ht="15.75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</row>
    <row r="162" ht="15.75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</row>
    <row r="163" ht="15.75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</row>
    <row r="164" ht="15.75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</row>
    <row r="165" ht="15.7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</row>
    <row r="166" ht="15.75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</row>
    <row r="167" ht="15.7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</row>
    <row r="168" ht="15.75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</row>
    <row r="169" ht="15.75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</row>
    <row r="170" ht="15.75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</row>
    <row r="171" ht="15.7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</row>
    <row r="172" ht="15.7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</row>
    <row r="173" ht="15.75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</row>
    <row r="174" ht="15.75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</row>
    <row r="175" ht="15.7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</row>
    <row r="176" ht="15.7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</row>
    <row r="177" ht="15.7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</row>
    <row r="178" ht="15.7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</row>
    <row r="179" ht="15.7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</row>
    <row r="180" ht="15.75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</row>
    <row r="181" ht="15.7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</row>
    <row r="182" ht="15.75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</row>
    <row r="183" ht="15.7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</row>
    <row r="184" ht="15.75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</row>
    <row r="185" ht="15.75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</row>
    <row r="186" ht="15.75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</row>
    <row r="187" ht="15.7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</row>
    <row r="188" ht="15.75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</row>
    <row r="189" ht="15.75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</row>
    <row r="190" ht="15.75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</row>
    <row r="191" ht="15.7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</row>
    <row r="192" ht="15.75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</row>
    <row r="193" ht="15.7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</row>
    <row r="194" ht="15.75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</row>
    <row r="195" ht="15.75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</row>
    <row r="196" ht="15.75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</row>
    <row r="197" ht="15.75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</row>
    <row r="198" ht="15.7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</row>
    <row r="199" ht="15.7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</row>
    <row r="200" ht="15.75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</row>
    <row r="201" ht="15.75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</row>
    <row r="202" ht="15.75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</row>
    <row r="203" ht="15.75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</row>
    <row r="204" ht="15.75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</row>
    <row r="205" ht="15.75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</row>
    <row r="206" ht="15.7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</row>
    <row r="207" ht="15.7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</row>
    <row r="208" ht="15.7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</row>
    <row r="209" ht="15.7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</row>
    <row r="210" ht="15.7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</row>
    <row r="211" ht="15.7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</row>
    <row r="212" ht="15.7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</row>
    <row r="213" ht="15.7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</row>
    <row r="214" ht="15.7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</row>
    <row r="215" ht="15.7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</row>
    <row r="216" ht="15.7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</row>
    <row r="217" ht="15.7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</row>
    <row r="218" ht="15.7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C2"/>
    <mergeCell ref="B17:C17"/>
    <mergeCell ref="B18:C18"/>
    <mergeCell ref="B19:C19"/>
    <mergeCell ref="B20:C2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4.13"/>
    <col customWidth="1" min="2" max="2" width="33.88"/>
    <col customWidth="1" min="3" max="14" width="12.38"/>
    <col customWidth="1" min="15" max="16" width="14.63"/>
    <col customWidth="1" min="17" max="35" width="12.38"/>
    <col customWidth="1" min="36" max="36" width="14.63"/>
    <col customWidth="1" min="37" max="46" width="15.63"/>
    <col customWidth="1" min="47" max="90" width="15.0"/>
  </cols>
  <sheetData>
    <row r="1" ht="21.0" customHeight="1">
      <c r="A1" s="59"/>
      <c r="B1" s="59"/>
      <c r="C1" s="60" t="s">
        <v>72</v>
      </c>
      <c r="D1" s="3"/>
      <c r="E1" s="3"/>
      <c r="F1" s="3"/>
      <c r="G1" s="3"/>
      <c r="H1" s="3"/>
      <c r="I1" s="3"/>
      <c r="J1" s="4"/>
      <c r="K1" s="61"/>
      <c r="L1" s="62"/>
      <c r="M1" s="63"/>
      <c r="N1" s="60" t="s">
        <v>73</v>
      </c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61"/>
      <c r="AA1" s="64"/>
      <c r="AB1" s="62"/>
      <c r="AC1" s="65"/>
      <c r="AD1" s="66" t="s">
        <v>74</v>
      </c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8"/>
      <c r="AP1" s="63"/>
      <c r="AQ1" s="63"/>
      <c r="AR1" s="63"/>
      <c r="AS1" s="66" t="s">
        <v>75</v>
      </c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8"/>
      <c r="BE1" s="63"/>
      <c r="BF1" s="63"/>
      <c r="BG1" s="65"/>
      <c r="BH1" s="66" t="s">
        <v>76</v>
      </c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8"/>
      <c r="BT1" s="63"/>
      <c r="BU1" s="63"/>
      <c r="BV1" s="59"/>
      <c r="BW1" s="66" t="s">
        <v>77</v>
      </c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8"/>
      <c r="CI1" s="63"/>
      <c r="CJ1" s="63"/>
      <c r="CK1" s="69"/>
      <c r="CL1" s="63"/>
    </row>
    <row r="2" ht="30.75" customHeight="1">
      <c r="A2" s="70"/>
      <c r="B2" s="70"/>
      <c r="C2" s="71" t="s">
        <v>78</v>
      </c>
      <c r="D2" s="71" t="s">
        <v>79</v>
      </c>
      <c r="E2" s="71" t="s">
        <v>80</v>
      </c>
      <c r="F2" s="71" t="s">
        <v>81</v>
      </c>
      <c r="G2" s="72" t="s">
        <v>82</v>
      </c>
      <c r="H2" s="71" t="s">
        <v>83</v>
      </c>
      <c r="I2" s="71" t="s">
        <v>84</v>
      </c>
      <c r="J2" s="71" t="s">
        <v>85</v>
      </c>
      <c r="K2" s="73" t="s">
        <v>86</v>
      </c>
      <c r="L2" s="74" t="s">
        <v>87</v>
      </c>
      <c r="M2" s="70"/>
      <c r="N2" s="71" t="s">
        <v>88</v>
      </c>
      <c r="O2" s="75" t="s">
        <v>89</v>
      </c>
      <c r="P2" s="76" t="s">
        <v>90</v>
      </c>
      <c r="Q2" s="76" t="s">
        <v>91</v>
      </c>
      <c r="R2" s="76" t="s">
        <v>92</v>
      </c>
      <c r="S2" s="71" t="s">
        <v>93</v>
      </c>
      <c r="T2" s="71" t="s">
        <v>94</v>
      </c>
      <c r="U2" s="71" t="s">
        <v>95</v>
      </c>
      <c r="V2" s="71" t="s">
        <v>96</v>
      </c>
      <c r="W2" s="71" t="s">
        <v>97</v>
      </c>
      <c r="X2" s="71" t="s">
        <v>98</v>
      </c>
      <c r="Y2" s="71" t="s">
        <v>99</v>
      </c>
      <c r="Z2" s="73" t="s">
        <v>86</v>
      </c>
      <c r="AA2" s="77" t="s">
        <v>87</v>
      </c>
      <c r="AB2" s="78" t="s">
        <v>100</v>
      </c>
      <c r="AC2" s="65"/>
      <c r="AD2" s="71" t="s">
        <v>101</v>
      </c>
      <c r="AE2" s="79" t="s">
        <v>102</v>
      </c>
      <c r="AF2" s="76" t="s">
        <v>103</v>
      </c>
      <c r="AG2" s="76" t="s">
        <v>104</v>
      </c>
      <c r="AH2" s="76" t="s">
        <v>105</v>
      </c>
      <c r="AI2" s="71" t="s">
        <v>106</v>
      </c>
      <c r="AJ2" s="71" t="s">
        <v>107</v>
      </c>
      <c r="AK2" s="71" t="s">
        <v>108</v>
      </c>
      <c r="AL2" s="71" t="s">
        <v>109</v>
      </c>
      <c r="AM2" s="71" t="s">
        <v>110</v>
      </c>
      <c r="AN2" s="71" t="s">
        <v>111</v>
      </c>
      <c r="AO2" s="71" t="s">
        <v>112</v>
      </c>
      <c r="AP2" s="80" t="s">
        <v>86</v>
      </c>
      <c r="AQ2" s="77" t="s">
        <v>87</v>
      </c>
      <c r="AR2" s="63"/>
      <c r="AS2" s="71" t="s">
        <v>113</v>
      </c>
      <c r="AT2" s="71" t="s">
        <v>114</v>
      </c>
      <c r="AU2" s="75" t="s">
        <v>115</v>
      </c>
      <c r="AV2" s="81" t="s">
        <v>116</v>
      </c>
      <c r="AW2" s="75" t="s">
        <v>117</v>
      </c>
      <c r="AX2" s="75" t="s">
        <v>118</v>
      </c>
      <c r="AY2" s="70" t="s">
        <v>119</v>
      </c>
      <c r="AZ2" s="70" t="s">
        <v>120</v>
      </c>
      <c r="BA2" s="70" t="s">
        <v>121</v>
      </c>
      <c r="BB2" s="70" t="s">
        <v>122</v>
      </c>
      <c r="BC2" s="70" t="s">
        <v>123</v>
      </c>
      <c r="BD2" s="70" t="s">
        <v>124</v>
      </c>
      <c r="BE2" s="80" t="s">
        <v>86</v>
      </c>
      <c r="BF2" s="77" t="s">
        <v>87</v>
      </c>
      <c r="BG2" s="65"/>
      <c r="BH2" s="70" t="s">
        <v>125</v>
      </c>
      <c r="BI2" s="70" t="s">
        <v>126</v>
      </c>
      <c r="BJ2" s="70" t="s">
        <v>127</v>
      </c>
      <c r="BK2" s="81" t="s">
        <v>128</v>
      </c>
      <c r="BL2" s="76" t="s">
        <v>129</v>
      </c>
      <c r="BM2" s="70" t="s">
        <v>130</v>
      </c>
      <c r="BN2" s="70" t="s">
        <v>131</v>
      </c>
      <c r="BO2" s="70" t="s">
        <v>132</v>
      </c>
      <c r="BP2" s="70" t="s">
        <v>133</v>
      </c>
      <c r="BQ2" s="70" t="s">
        <v>134</v>
      </c>
      <c r="BR2" s="70" t="s">
        <v>135</v>
      </c>
      <c r="BS2" s="70" t="s">
        <v>136</v>
      </c>
      <c r="BT2" s="80" t="s">
        <v>86</v>
      </c>
      <c r="BU2" s="77" t="s">
        <v>87</v>
      </c>
      <c r="BV2" s="59"/>
      <c r="BW2" s="70" t="s">
        <v>137</v>
      </c>
      <c r="BX2" s="70" t="s">
        <v>138</v>
      </c>
      <c r="BY2" s="76" t="s">
        <v>139</v>
      </c>
      <c r="BZ2" s="76" t="s">
        <v>140</v>
      </c>
      <c r="CA2" s="76" t="s">
        <v>141</v>
      </c>
      <c r="CB2" s="75" t="s">
        <v>142</v>
      </c>
      <c r="CC2" s="75" t="s">
        <v>143</v>
      </c>
      <c r="CD2" s="75" t="s">
        <v>144</v>
      </c>
      <c r="CE2" s="75" t="s">
        <v>145</v>
      </c>
      <c r="CF2" s="75" t="s">
        <v>146</v>
      </c>
      <c r="CG2" s="75" t="s">
        <v>147</v>
      </c>
      <c r="CH2" s="75" t="s">
        <v>148</v>
      </c>
      <c r="CI2" s="80" t="s">
        <v>86</v>
      </c>
      <c r="CJ2" s="77" t="s">
        <v>87</v>
      </c>
      <c r="CK2" s="82" t="s">
        <v>149</v>
      </c>
      <c r="CL2" s="63"/>
    </row>
    <row r="3" ht="21.0" customHeight="1">
      <c r="A3" s="59"/>
      <c r="B3" s="83" t="s">
        <v>150</v>
      </c>
      <c r="C3" s="59"/>
      <c r="D3" s="59"/>
      <c r="E3" s="59"/>
      <c r="F3" s="59"/>
      <c r="G3" s="84"/>
      <c r="H3" s="59"/>
      <c r="I3" s="59"/>
      <c r="J3" s="59"/>
      <c r="K3" s="85"/>
      <c r="L3" s="86">
        <f>SUM(K4)</f>
        <v>15000</v>
      </c>
      <c r="M3" s="63"/>
      <c r="N3" s="65"/>
      <c r="O3" s="63"/>
      <c r="P3" s="63"/>
      <c r="Q3" s="65"/>
      <c r="R3" s="65"/>
      <c r="S3" s="65"/>
      <c r="T3" s="65"/>
      <c r="U3" s="65"/>
      <c r="V3" s="65"/>
      <c r="W3" s="65"/>
      <c r="X3" s="65"/>
      <c r="Y3" s="65"/>
      <c r="Z3" s="87"/>
      <c r="AA3" s="88">
        <f>SUM(Z4)</f>
        <v>216341.1</v>
      </c>
      <c r="AB3" s="89"/>
      <c r="AC3" s="65"/>
      <c r="AD3" s="65"/>
      <c r="AE3" s="90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88">
        <f>AP4</f>
        <v>698241.4847</v>
      </c>
      <c r="AR3" s="63"/>
      <c r="AS3" s="65"/>
      <c r="AT3" s="65"/>
      <c r="AU3" s="65"/>
      <c r="AV3" s="90"/>
      <c r="AW3" s="65"/>
      <c r="AX3" s="65"/>
      <c r="AY3" s="65"/>
      <c r="AZ3" s="65"/>
      <c r="BA3" s="65"/>
      <c r="BB3" s="65"/>
      <c r="BC3" s="65"/>
      <c r="BD3" s="65"/>
      <c r="BE3" s="65"/>
      <c r="BF3" s="88">
        <f>BE4</f>
        <v>1007029.957</v>
      </c>
      <c r="BG3" s="65"/>
      <c r="BH3" s="65"/>
      <c r="BI3" s="65"/>
      <c r="BJ3" s="65"/>
      <c r="BK3" s="90"/>
      <c r="BL3" s="65"/>
      <c r="BM3" s="65"/>
      <c r="BN3" s="65"/>
      <c r="BO3" s="65"/>
      <c r="BP3" s="65"/>
      <c r="BQ3" s="65"/>
      <c r="BR3" s="65"/>
      <c r="BS3" s="65"/>
      <c r="BT3" s="65"/>
      <c r="BU3" s="88">
        <f>BT4</f>
        <v>1366094.107</v>
      </c>
      <c r="BV3" s="59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88">
        <f>CI4</f>
        <v>1826128.041</v>
      </c>
      <c r="CK3" s="91">
        <f>L3+AA3+AQ3+BF3+BU3+CJ3</f>
        <v>5128834.691</v>
      </c>
      <c r="CL3" s="63"/>
    </row>
    <row r="4" ht="21.0" customHeight="1">
      <c r="A4" s="92"/>
      <c r="B4" s="93" t="s">
        <v>150</v>
      </c>
      <c r="C4" s="94">
        <v>0.0</v>
      </c>
      <c r="D4" s="94">
        <v>0.0</v>
      </c>
      <c r="E4" s="94">
        <v>0.0</v>
      </c>
      <c r="F4" s="94">
        <v>0.0</v>
      </c>
      <c r="G4" s="95">
        <v>3000.0</v>
      </c>
      <c r="H4" s="94">
        <v>3000.0</v>
      </c>
      <c r="I4" s="94">
        <v>4000.0</v>
      </c>
      <c r="J4" s="94">
        <v>5000.0</v>
      </c>
      <c r="K4" s="96">
        <f>SUM(C4:J4)</f>
        <v>15000</v>
      </c>
      <c r="L4" s="89"/>
      <c r="M4" s="63"/>
      <c r="N4" s="94">
        <v>7000.0</v>
      </c>
      <c r="O4" s="94">
        <v>9000.0</v>
      </c>
      <c r="P4" s="94">
        <v>13000.0</v>
      </c>
      <c r="Q4" s="94">
        <v>15000.0</v>
      </c>
      <c r="R4" s="94">
        <v>18000.0</v>
      </c>
      <c r="S4" s="94">
        <v>20000.0</v>
      </c>
      <c r="T4" s="94">
        <f t="shared" ref="T4:U4" si="1">S4/2</f>
        <v>10000</v>
      </c>
      <c r="U4" s="94">
        <f t="shared" si="1"/>
        <v>5000</v>
      </c>
      <c r="V4" s="94">
        <v>25285.0</v>
      </c>
      <c r="W4" s="94">
        <f>V4*1.5</f>
        <v>37927.5</v>
      </c>
      <c r="X4" s="94">
        <f t="shared" ref="X4:Y4" si="2">W4*1.2</f>
        <v>45513</v>
      </c>
      <c r="Y4" s="94">
        <f t="shared" si="2"/>
        <v>54615.6</v>
      </c>
      <c r="Z4" s="97">
        <f>SUM(R4:Y4)</f>
        <v>216341.1</v>
      </c>
      <c r="AA4" s="65"/>
      <c r="AB4" s="98">
        <f>SUM(K4,Z4)</f>
        <v>231341.1</v>
      </c>
      <c r="AC4" s="65"/>
      <c r="AD4" s="94">
        <v>53780.0</v>
      </c>
      <c r="AE4" s="95">
        <v>68536.0</v>
      </c>
      <c r="AF4" s="94">
        <f>AE4*1.03</f>
        <v>70592.08</v>
      </c>
      <c r="AG4" s="99">
        <f>$AF$4*0.95</f>
        <v>67062.476</v>
      </c>
      <c r="AH4" s="99">
        <f>$AF$4*0.93</f>
        <v>65650.6344</v>
      </c>
      <c r="AI4" s="99">
        <f>$AF$4*0.9</f>
        <v>63532.872</v>
      </c>
      <c r="AJ4" s="94">
        <f t="shared" ref="AJ4:AK4" si="3">AI4/2</f>
        <v>31766.436</v>
      </c>
      <c r="AK4" s="94">
        <f t="shared" si="3"/>
        <v>15883.218</v>
      </c>
      <c r="AL4" s="94">
        <f>AJ4*2.15</f>
        <v>68297.8374</v>
      </c>
      <c r="AM4" s="94">
        <f>AK4*4.3</f>
        <v>68297.8374</v>
      </c>
      <c r="AN4" s="94">
        <f>$AK$4*4</f>
        <v>63532.872</v>
      </c>
      <c r="AO4" s="94">
        <f>$AK$4*3.86</f>
        <v>61309.22148</v>
      </c>
      <c r="AP4" s="99">
        <f>SUM(AD4:AO4)</f>
        <v>698241.4847</v>
      </c>
      <c r="AQ4" s="65"/>
      <c r="AR4" s="63"/>
      <c r="AS4" s="94">
        <f>31715</f>
        <v>31715</v>
      </c>
      <c r="AT4" s="94">
        <f>$AK$4*4</f>
        <v>63532.872</v>
      </c>
      <c r="AU4" s="94">
        <f>$AK$4*4.5</f>
        <v>71474.481</v>
      </c>
      <c r="AV4" s="95">
        <f>$AU$4*1.5</f>
        <v>107211.7215</v>
      </c>
      <c r="AW4" s="94">
        <f>$AU$4*1.55</f>
        <v>110785.4456</v>
      </c>
      <c r="AX4" s="94">
        <f>$AU$4*1.5</f>
        <v>107211.7215</v>
      </c>
      <c r="AY4" s="94">
        <f t="shared" ref="AY4:AZ4" si="4">AX4/2</f>
        <v>53605.86075</v>
      </c>
      <c r="AZ4" s="94">
        <f t="shared" si="4"/>
        <v>26802.93038</v>
      </c>
      <c r="BA4" s="99">
        <f>AV4</f>
        <v>107211.7215</v>
      </c>
      <c r="BB4" s="99">
        <f>BA4*1.05</f>
        <v>112572.3076</v>
      </c>
      <c r="BC4" s="94">
        <f>BA4*1.028</f>
        <v>110213.6497</v>
      </c>
      <c r="BD4" s="94">
        <f>BB4*0.93</f>
        <v>104692.246</v>
      </c>
      <c r="BE4" s="99">
        <f>SUM(AS4:BD4)</f>
        <v>1007029.957</v>
      </c>
      <c r="BF4" s="65"/>
      <c r="BG4" s="65"/>
      <c r="BH4" s="94">
        <v>93771.875</v>
      </c>
      <c r="BI4" s="94">
        <f>BH4</f>
        <v>93771.875</v>
      </c>
      <c r="BJ4" s="94">
        <f>BI4*0.97</f>
        <v>90958.71875</v>
      </c>
      <c r="BK4" s="95">
        <f>$AK$4*7</f>
        <v>111182.526</v>
      </c>
      <c r="BL4" s="94">
        <f>BK4*1.03</f>
        <v>114518.0018</v>
      </c>
      <c r="BM4" s="94">
        <f>BL4*0.9</f>
        <v>103066.2016</v>
      </c>
      <c r="BN4" s="94">
        <f t="shared" ref="BN4:BO4" si="5">BM4/2</f>
        <v>51533.1008</v>
      </c>
      <c r="BO4" s="94">
        <f t="shared" si="5"/>
        <v>25766.5504</v>
      </c>
      <c r="BP4" s="94">
        <f>BN4*3</f>
        <v>154599.3024</v>
      </c>
      <c r="BQ4" s="94">
        <f>BO4*6.85</f>
        <v>176500.8702</v>
      </c>
      <c r="BR4" s="94">
        <f t="shared" ref="BR4:BS4" si="6">$BO$4*6.8</f>
        <v>175212.5427</v>
      </c>
      <c r="BS4" s="94">
        <f t="shared" si="6"/>
        <v>175212.5427</v>
      </c>
      <c r="BT4" s="99">
        <f>SUM(BH4:BS4)</f>
        <v>1366094.107</v>
      </c>
      <c r="BU4" s="65"/>
      <c r="BV4" s="59"/>
      <c r="BW4" s="94">
        <v>169147.65625</v>
      </c>
      <c r="BX4" s="94">
        <f>BW4*1.1</f>
        <v>186062.4219</v>
      </c>
      <c r="BY4" s="94">
        <f>BX4*1.03</f>
        <v>191644.2945</v>
      </c>
      <c r="BZ4" s="94">
        <f>BX4*1.05</f>
        <v>195365.543</v>
      </c>
      <c r="CA4" s="94">
        <f>BY4*1.03</f>
        <v>197393.6234</v>
      </c>
      <c r="CB4" s="94">
        <f t="shared" ref="CB4:CD4" si="7">CA4/2</f>
        <v>98696.81168</v>
      </c>
      <c r="CC4" s="94">
        <f t="shared" si="7"/>
        <v>49348.40584</v>
      </c>
      <c r="CD4" s="94">
        <f t="shared" si="7"/>
        <v>24674.20292</v>
      </c>
      <c r="CE4" s="94">
        <f>CC4*3.6</f>
        <v>177654.261</v>
      </c>
      <c r="CF4" s="94">
        <f>CD4*7.3</f>
        <v>180121.6813</v>
      </c>
      <c r="CG4" s="94">
        <f t="shared" ref="CG4:CH4" si="8">$CE$4*1.002</f>
        <v>178009.5696</v>
      </c>
      <c r="CH4" s="94">
        <f t="shared" si="8"/>
        <v>178009.5696</v>
      </c>
      <c r="CI4" s="99">
        <f>SUM(BW4:CH4)</f>
        <v>1826128.041</v>
      </c>
      <c r="CJ4" s="65"/>
      <c r="CK4" s="100"/>
      <c r="CL4" s="63"/>
    </row>
    <row r="5" ht="21.0" customHeight="1">
      <c r="A5" s="101"/>
      <c r="B5" s="102" t="s">
        <v>86</v>
      </c>
      <c r="C5" s="103">
        <f t="shared" ref="C5:K5" si="9">SUM(C4)</f>
        <v>0</v>
      </c>
      <c r="D5" s="103">
        <f t="shared" si="9"/>
        <v>0</v>
      </c>
      <c r="E5" s="103">
        <f t="shared" si="9"/>
        <v>0</v>
      </c>
      <c r="F5" s="103">
        <f t="shared" si="9"/>
        <v>0</v>
      </c>
      <c r="G5" s="104">
        <f t="shared" si="9"/>
        <v>3000</v>
      </c>
      <c r="H5" s="103">
        <f t="shared" si="9"/>
        <v>3000</v>
      </c>
      <c r="I5" s="103">
        <f t="shared" si="9"/>
        <v>4000</v>
      </c>
      <c r="J5" s="103">
        <f t="shared" si="9"/>
        <v>5000</v>
      </c>
      <c r="K5" s="105">
        <f t="shared" si="9"/>
        <v>15000</v>
      </c>
      <c r="L5" s="106"/>
      <c r="M5" s="63"/>
      <c r="N5" s="103">
        <f t="shared" ref="N5:Z5" si="10">SUM(N4)</f>
        <v>7000</v>
      </c>
      <c r="O5" s="103">
        <f t="shared" si="10"/>
        <v>9000</v>
      </c>
      <c r="P5" s="103">
        <f t="shared" si="10"/>
        <v>13000</v>
      </c>
      <c r="Q5" s="103">
        <f t="shared" si="10"/>
        <v>15000</v>
      </c>
      <c r="R5" s="107">
        <f t="shared" si="10"/>
        <v>18000</v>
      </c>
      <c r="S5" s="107">
        <f t="shared" si="10"/>
        <v>20000</v>
      </c>
      <c r="T5" s="107">
        <f t="shared" si="10"/>
        <v>10000</v>
      </c>
      <c r="U5" s="107">
        <f t="shared" si="10"/>
        <v>5000</v>
      </c>
      <c r="V5" s="107">
        <f t="shared" si="10"/>
        <v>25285</v>
      </c>
      <c r="W5" s="107">
        <f t="shared" si="10"/>
        <v>37927.5</v>
      </c>
      <c r="X5" s="107">
        <f t="shared" si="10"/>
        <v>45513</v>
      </c>
      <c r="Y5" s="107">
        <f t="shared" si="10"/>
        <v>54615.6</v>
      </c>
      <c r="Z5" s="108">
        <f t="shared" si="10"/>
        <v>216341.1</v>
      </c>
      <c r="AA5" s="107"/>
      <c r="AB5" s="109"/>
      <c r="AC5" s="65"/>
      <c r="AD5" s="107">
        <f t="shared" ref="AD5:AP5" si="11">SUM(AD4)</f>
        <v>53780</v>
      </c>
      <c r="AE5" s="110">
        <f t="shared" si="11"/>
        <v>68536</v>
      </c>
      <c r="AF5" s="107">
        <f t="shared" si="11"/>
        <v>70592.08</v>
      </c>
      <c r="AG5" s="107">
        <f t="shared" si="11"/>
        <v>67062.476</v>
      </c>
      <c r="AH5" s="107">
        <f t="shared" si="11"/>
        <v>65650.6344</v>
      </c>
      <c r="AI5" s="107">
        <f t="shared" si="11"/>
        <v>63532.872</v>
      </c>
      <c r="AJ5" s="107">
        <f t="shared" si="11"/>
        <v>31766.436</v>
      </c>
      <c r="AK5" s="107">
        <f t="shared" si="11"/>
        <v>15883.218</v>
      </c>
      <c r="AL5" s="107">
        <f t="shared" si="11"/>
        <v>68297.8374</v>
      </c>
      <c r="AM5" s="107">
        <f t="shared" si="11"/>
        <v>68297.8374</v>
      </c>
      <c r="AN5" s="107">
        <f t="shared" si="11"/>
        <v>63532.872</v>
      </c>
      <c r="AO5" s="107">
        <f t="shared" si="11"/>
        <v>61309.22148</v>
      </c>
      <c r="AP5" s="107">
        <f t="shared" si="11"/>
        <v>698241.4847</v>
      </c>
      <c r="AQ5" s="111"/>
      <c r="AR5" s="63"/>
      <c r="AS5" s="107">
        <f t="shared" ref="AS5:BE5" si="12">SUM(AS4)</f>
        <v>31715</v>
      </c>
      <c r="AT5" s="107">
        <f t="shared" si="12"/>
        <v>63532.872</v>
      </c>
      <c r="AU5" s="107">
        <f t="shared" si="12"/>
        <v>71474.481</v>
      </c>
      <c r="AV5" s="110">
        <f t="shared" si="12"/>
        <v>107211.7215</v>
      </c>
      <c r="AW5" s="107">
        <f t="shared" si="12"/>
        <v>110785.4456</v>
      </c>
      <c r="AX5" s="107">
        <f t="shared" si="12"/>
        <v>107211.7215</v>
      </c>
      <c r="AY5" s="107">
        <f t="shared" si="12"/>
        <v>53605.86075</v>
      </c>
      <c r="AZ5" s="107">
        <f t="shared" si="12"/>
        <v>26802.93038</v>
      </c>
      <c r="BA5" s="107">
        <f t="shared" si="12"/>
        <v>107211.7215</v>
      </c>
      <c r="BB5" s="107">
        <f t="shared" si="12"/>
        <v>112572.3076</v>
      </c>
      <c r="BC5" s="107">
        <f t="shared" si="12"/>
        <v>110213.6497</v>
      </c>
      <c r="BD5" s="107">
        <f t="shared" si="12"/>
        <v>104692.246</v>
      </c>
      <c r="BE5" s="107">
        <f t="shared" si="12"/>
        <v>1007029.957</v>
      </c>
      <c r="BF5" s="111"/>
      <c r="BG5" s="65"/>
      <c r="BH5" s="107">
        <f t="shared" ref="BH5:BT5" si="13">SUM(BH4)</f>
        <v>93771.875</v>
      </c>
      <c r="BI5" s="107">
        <f t="shared" si="13"/>
        <v>93771.875</v>
      </c>
      <c r="BJ5" s="107">
        <f t="shared" si="13"/>
        <v>90958.71875</v>
      </c>
      <c r="BK5" s="110">
        <f t="shared" si="13"/>
        <v>111182.526</v>
      </c>
      <c r="BL5" s="107">
        <f t="shared" si="13"/>
        <v>114518.0018</v>
      </c>
      <c r="BM5" s="107">
        <f t="shared" si="13"/>
        <v>103066.2016</v>
      </c>
      <c r="BN5" s="107">
        <f t="shared" si="13"/>
        <v>51533.1008</v>
      </c>
      <c r="BO5" s="107">
        <f t="shared" si="13"/>
        <v>25766.5504</v>
      </c>
      <c r="BP5" s="107">
        <f t="shared" si="13"/>
        <v>154599.3024</v>
      </c>
      <c r="BQ5" s="107">
        <f t="shared" si="13"/>
        <v>176500.8702</v>
      </c>
      <c r="BR5" s="107">
        <f t="shared" si="13"/>
        <v>175212.5427</v>
      </c>
      <c r="BS5" s="107">
        <f t="shared" si="13"/>
        <v>175212.5427</v>
      </c>
      <c r="BT5" s="107">
        <f t="shared" si="13"/>
        <v>1366094.107</v>
      </c>
      <c r="BU5" s="107"/>
      <c r="BV5" s="59"/>
      <c r="BW5" s="107">
        <f t="shared" ref="BW5:BY5" si="14">SUM(BW4)</f>
        <v>169147.6563</v>
      </c>
      <c r="BX5" s="107">
        <f t="shared" si="14"/>
        <v>186062.4219</v>
      </c>
      <c r="BY5" s="107">
        <f t="shared" si="14"/>
        <v>191644.2945</v>
      </c>
      <c r="BZ5" s="107">
        <f>SUM(BY4)</f>
        <v>191644.2945</v>
      </c>
      <c r="CA5" s="107">
        <f t="shared" ref="CA5:CI5" si="15">SUM(CA4)</f>
        <v>197393.6234</v>
      </c>
      <c r="CB5" s="107">
        <f t="shared" si="15"/>
        <v>98696.81168</v>
      </c>
      <c r="CC5" s="107">
        <f t="shared" si="15"/>
        <v>49348.40584</v>
      </c>
      <c r="CD5" s="107">
        <f t="shared" si="15"/>
        <v>24674.20292</v>
      </c>
      <c r="CE5" s="107">
        <f t="shared" si="15"/>
        <v>177654.261</v>
      </c>
      <c r="CF5" s="107">
        <f t="shared" si="15"/>
        <v>180121.6813</v>
      </c>
      <c r="CG5" s="107">
        <f t="shared" si="15"/>
        <v>178009.5696</v>
      </c>
      <c r="CH5" s="107">
        <f t="shared" si="15"/>
        <v>178009.5696</v>
      </c>
      <c r="CI5" s="107">
        <f t="shared" si="15"/>
        <v>1826128.041</v>
      </c>
      <c r="CJ5" s="111"/>
      <c r="CK5" s="112"/>
      <c r="CL5" s="63"/>
    </row>
    <row r="6" ht="37.5" customHeight="1">
      <c r="A6" s="59"/>
      <c r="B6" s="59"/>
      <c r="C6" s="65"/>
      <c r="D6" s="65"/>
      <c r="E6" s="65"/>
      <c r="F6" s="65"/>
      <c r="G6" s="113" t="s">
        <v>151</v>
      </c>
      <c r="H6" s="65"/>
      <c r="I6" s="65"/>
      <c r="J6" s="65"/>
      <c r="K6" s="87"/>
      <c r="L6" s="89"/>
      <c r="M6" s="63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87"/>
      <c r="AA6" s="65"/>
      <c r="AB6" s="89"/>
      <c r="AC6" s="65"/>
      <c r="AD6" s="65"/>
      <c r="AE6" s="114" t="s">
        <v>152</v>
      </c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3"/>
      <c r="AS6" s="65"/>
      <c r="AT6" s="65"/>
      <c r="AU6" s="65"/>
      <c r="AV6" s="114" t="s">
        <v>4</v>
      </c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114" t="s">
        <v>5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59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100"/>
      <c r="CL6" s="63"/>
    </row>
    <row r="7" ht="21.0" customHeight="1">
      <c r="A7" s="59"/>
      <c r="B7" s="59"/>
      <c r="C7" s="65"/>
      <c r="D7" s="65"/>
      <c r="E7" s="65"/>
      <c r="F7" s="65"/>
      <c r="G7" s="65"/>
      <c r="H7" s="65"/>
      <c r="I7" s="65"/>
      <c r="J7" s="65"/>
      <c r="K7" s="87"/>
      <c r="L7" s="89"/>
      <c r="M7" s="63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87"/>
      <c r="AA7" s="65"/>
      <c r="AB7" s="89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3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59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100"/>
      <c r="CL7" s="63"/>
    </row>
    <row r="8" ht="21.0" customHeight="1">
      <c r="A8" s="59"/>
      <c r="B8" s="83" t="s">
        <v>153</v>
      </c>
      <c r="C8" s="65"/>
      <c r="D8" s="65"/>
      <c r="E8" s="65"/>
      <c r="F8" s="65"/>
      <c r="G8" s="65"/>
      <c r="H8" s="65"/>
      <c r="I8" s="65"/>
      <c r="J8" s="65"/>
      <c r="K8" s="87"/>
      <c r="L8" s="89"/>
      <c r="M8" s="63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87"/>
      <c r="AA8" s="65"/>
      <c r="AB8" s="89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3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59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100"/>
      <c r="CL8" s="63"/>
    </row>
    <row r="9" ht="21.0" customHeight="1">
      <c r="A9" s="59"/>
      <c r="B9" s="93" t="s">
        <v>154</v>
      </c>
      <c r="C9" s="65"/>
      <c r="D9" s="65"/>
      <c r="E9" s="65"/>
      <c r="F9" s="65"/>
      <c r="G9" s="65"/>
      <c r="H9" s="65"/>
      <c r="I9" s="65"/>
      <c r="J9" s="65"/>
      <c r="K9" s="96">
        <f t="shared" ref="K9:K11" si="17">SUM(C9:J9)</f>
        <v>0</v>
      </c>
      <c r="L9" s="115">
        <f>SUM(K9:K11)</f>
        <v>250000</v>
      </c>
      <c r="M9" s="63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97">
        <f t="shared" ref="Z9:Z11" si="18">SUM(R9:Y9)</f>
        <v>0</v>
      </c>
      <c r="AA9" s="88">
        <f t="shared" ref="AA9:AB9" si="16">SUM(Z9:Z11)</f>
        <v>500000</v>
      </c>
      <c r="AB9" s="98">
        <f t="shared" si="16"/>
        <v>500000</v>
      </c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99">
        <f t="shared" ref="AP9:AP11" si="19">SUM(AH9:AO9)</f>
        <v>0</v>
      </c>
      <c r="AQ9" s="88">
        <f>SUM(AP9:AP11)</f>
        <v>1050000</v>
      </c>
      <c r="AR9" s="63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99">
        <f t="shared" ref="BE9:BE12" si="20">SUM(AS9:BD9)</f>
        <v>0</v>
      </c>
      <c r="BF9" s="88">
        <f>SUM(BE9:BE11)</f>
        <v>1050000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99">
        <f t="shared" ref="BT9:BT12" si="21">SUM(BH9:BS9)</f>
        <v>0</v>
      </c>
      <c r="BU9" s="88">
        <f>SUM(BT9:BT11)</f>
        <v>1050000</v>
      </c>
      <c r="BV9" s="59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99">
        <f t="shared" ref="CI9:CI11" si="22">SUM(BW9:CH9)</f>
        <v>0</v>
      </c>
      <c r="CJ9" s="88">
        <f>SUM(CI9:CI11)</f>
        <v>1050000</v>
      </c>
      <c r="CK9" s="91">
        <f>L9+AA9+AQ9+BF9+BU9+CJ9</f>
        <v>4950000</v>
      </c>
      <c r="CL9" s="63"/>
    </row>
    <row r="10" ht="21.0" customHeight="1">
      <c r="A10" s="92"/>
      <c r="B10" s="93" t="s">
        <v>155</v>
      </c>
      <c r="C10" s="65"/>
      <c r="D10" s="65"/>
      <c r="E10" s="65"/>
      <c r="F10" s="65"/>
      <c r="G10" s="65"/>
      <c r="H10" s="65"/>
      <c r="I10" s="65"/>
      <c r="J10" s="65"/>
      <c r="K10" s="96">
        <f t="shared" si="17"/>
        <v>0</v>
      </c>
      <c r="L10" s="89"/>
      <c r="M10" s="63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97">
        <f t="shared" si="18"/>
        <v>0</v>
      </c>
      <c r="AA10" s="65"/>
      <c r="AB10" s="89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99">
        <f t="shared" si="19"/>
        <v>0</v>
      </c>
      <c r="AQ10" s="65"/>
      <c r="AR10" s="63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99">
        <f t="shared" si="20"/>
        <v>0</v>
      </c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99">
        <f t="shared" si="21"/>
        <v>0</v>
      </c>
      <c r="BU10" s="65"/>
      <c r="BV10" s="59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99">
        <f t="shared" si="22"/>
        <v>0</v>
      </c>
      <c r="CJ10" s="65"/>
      <c r="CK10" s="100"/>
      <c r="CL10" s="63"/>
    </row>
    <row r="11" ht="21.0" customHeight="1">
      <c r="A11" s="92"/>
      <c r="B11" s="93" t="s">
        <v>156</v>
      </c>
      <c r="C11" s="65"/>
      <c r="D11" s="94">
        <v>100000.0</v>
      </c>
      <c r="E11" s="65"/>
      <c r="F11" s="94">
        <v>150000.0</v>
      </c>
      <c r="G11" s="65"/>
      <c r="H11" s="65"/>
      <c r="I11" s="65"/>
      <c r="J11" s="65"/>
      <c r="K11" s="96">
        <f t="shared" si="17"/>
        <v>250000</v>
      </c>
      <c r="L11" s="89"/>
      <c r="M11" s="63"/>
      <c r="N11" s="65"/>
      <c r="O11" s="65"/>
      <c r="P11" s="65"/>
      <c r="Q11" s="65"/>
      <c r="R11" s="65"/>
      <c r="S11" s="65"/>
      <c r="T11" s="94">
        <v>500000.0</v>
      </c>
      <c r="U11" s="65"/>
      <c r="V11" s="65"/>
      <c r="W11" s="65"/>
      <c r="X11" s="65"/>
      <c r="Y11" s="65"/>
      <c r="Z11" s="97">
        <f t="shared" si="18"/>
        <v>500000</v>
      </c>
      <c r="AA11" s="65"/>
      <c r="AB11" s="89"/>
      <c r="AC11" s="65"/>
      <c r="AD11" s="65"/>
      <c r="AE11" s="65"/>
      <c r="AF11" s="65"/>
      <c r="AG11" s="65"/>
      <c r="AH11" s="65"/>
      <c r="AI11" s="94">
        <v>1050000.0</v>
      </c>
      <c r="AJ11" s="65"/>
      <c r="AK11" s="65"/>
      <c r="AL11" s="65"/>
      <c r="AM11" s="65"/>
      <c r="AN11" s="65"/>
      <c r="AO11" s="65"/>
      <c r="AP11" s="99">
        <f t="shared" si="19"/>
        <v>1050000</v>
      </c>
      <c r="AQ11" s="65"/>
      <c r="AR11" s="63"/>
      <c r="AS11" s="65"/>
      <c r="AT11" s="65"/>
      <c r="AU11" s="65"/>
      <c r="AV11" s="65"/>
      <c r="AW11" s="65"/>
      <c r="AX11" s="94">
        <v>1050000.0</v>
      </c>
      <c r="AY11" s="65"/>
      <c r="AZ11" s="65"/>
      <c r="BA11" s="65"/>
      <c r="BB11" s="65"/>
      <c r="BC11" s="65"/>
      <c r="BD11" s="65"/>
      <c r="BE11" s="99">
        <f t="shared" si="20"/>
        <v>1050000</v>
      </c>
      <c r="BF11" s="65"/>
      <c r="BG11" s="65"/>
      <c r="BH11" s="65"/>
      <c r="BI11" s="65"/>
      <c r="BJ11" s="65"/>
      <c r="BK11" s="88"/>
      <c r="BL11" s="65"/>
      <c r="BM11" s="94">
        <v>1050000.0</v>
      </c>
      <c r="BN11" s="65"/>
      <c r="BO11" s="65"/>
      <c r="BP11" s="65"/>
      <c r="BQ11" s="65"/>
      <c r="BR11" s="65"/>
      <c r="BS11" s="65"/>
      <c r="BT11" s="99">
        <f t="shared" si="21"/>
        <v>1050000</v>
      </c>
      <c r="BU11" s="65"/>
      <c r="BV11" s="59"/>
      <c r="BW11" s="65"/>
      <c r="BX11" s="65"/>
      <c r="BY11" s="88"/>
      <c r="BZ11" s="88"/>
      <c r="CA11" s="65"/>
      <c r="CB11" s="94">
        <v>1050000.0</v>
      </c>
      <c r="CC11" s="65"/>
      <c r="CD11" s="65"/>
      <c r="CE11" s="65"/>
      <c r="CF11" s="65"/>
      <c r="CG11" s="65"/>
      <c r="CH11" s="65"/>
      <c r="CI11" s="99">
        <f t="shared" si="22"/>
        <v>1050000</v>
      </c>
      <c r="CJ11" s="65"/>
      <c r="CK11" s="100"/>
      <c r="CL11" s="63"/>
    </row>
    <row r="12" ht="21.0" customHeight="1">
      <c r="A12" s="101"/>
      <c r="B12" s="102" t="s">
        <v>86</v>
      </c>
      <c r="C12" s="107">
        <f t="shared" ref="C12:K12" si="23">SUM(C9:C11)</f>
        <v>0</v>
      </c>
      <c r="D12" s="107">
        <f t="shared" si="23"/>
        <v>100000</v>
      </c>
      <c r="E12" s="107">
        <f t="shared" si="23"/>
        <v>0</v>
      </c>
      <c r="F12" s="107">
        <f t="shared" si="23"/>
        <v>150000</v>
      </c>
      <c r="G12" s="107">
        <f t="shared" si="23"/>
        <v>0</v>
      </c>
      <c r="H12" s="107">
        <f t="shared" si="23"/>
        <v>0</v>
      </c>
      <c r="I12" s="107">
        <f t="shared" si="23"/>
        <v>0</v>
      </c>
      <c r="J12" s="107">
        <f t="shared" si="23"/>
        <v>0</v>
      </c>
      <c r="K12" s="108">
        <f t="shared" si="23"/>
        <v>250000</v>
      </c>
      <c r="L12" s="109"/>
      <c r="M12" s="63"/>
      <c r="N12" s="107">
        <f t="shared" ref="N12:Z12" si="24">SUM(N9:N11)</f>
        <v>0</v>
      </c>
      <c r="O12" s="107">
        <f t="shared" si="24"/>
        <v>0</v>
      </c>
      <c r="P12" s="107">
        <f t="shared" si="24"/>
        <v>0</v>
      </c>
      <c r="Q12" s="107">
        <f t="shared" si="24"/>
        <v>0</v>
      </c>
      <c r="R12" s="107">
        <f t="shared" si="24"/>
        <v>0</v>
      </c>
      <c r="S12" s="107">
        <f t="shared" si="24"/>
        <v>0</v>
      </c>
      <c r="T12" s="107">
        <f t="shared" si="24"/>
        <v>500000</v>
      </c>
      <c r="U12" s="107">
        <f t="shared" si="24"/>
        <v>0</v>
      </c>
      <c r="V12" s="107">
        <f t="shared" si="24"/>
        <v>0</v>
      </c>
      <c r="W12" s="107">
        <f t="shared" si="24"/>
        <v>0</v>
      </c>
      <c r="X12" s="107">
        <f t="shared" si="24"/>
        <v>0</v>
      </c>
      <c r="Y12" s="107">
        <f t="shared" si="24"/>
        <v>0</v>
      </c>
      <c r="Z12" s="108">
        <f t="shared" si="24"/>
        <v>500000</v>
      </c>
      <c r="AA12" s="107"/>
      <c r="AB12" s="109"/>
      <c r="AC12" s="65"/>
      <c r="AD12" s="107">
        <f t="shared" ref="AD12:AP12" si="25">SUM(AD9:AD11)</f>
        <v>0</v>
      </c>
      <c r="AE12" s="107">
        <f t="shared" si="25"/>
        <v>0</v>
      </c>
      <c r="AF12" s="107">
        <f t="shared" si="25"/>
        <v>0</v>
      </c>
      <c r="AG12" s="107">
        <f t="shared" si="25"/>
        <v>0</v>
      </c>
      <c r="AH12" s="107">
        <f t="shared" si="25"/>
        <v>0</v>
      </c>
      <c r="AI12" s="107">
        <f t="shared" si="25"/>
        <v>1050000</v>
      </c>
      <c r="AJ12" s="107">
        <f t="shared" si="25"/>
        <v>0</v>
      </c>
      <c r="AK12" s="107">
        <f t="shared" si="25"/>
        <v>0</v>
      </c>
      <c r="AL12" s="107">
        <f t="shared" si="25"/>
        <v>0</v>
      </c>
      <c r="AM12" s="107">
        <f t="shared" si="25"/>
        <v>0</v>
      </c>
      <c r="AN12" s="107">
        <f t="shared" si="25"/>
        <v>0</v>
      </c>
      <c r="AO12" s="107">
        <f t="shared" si="25"/>
        <v>0</v>
      </c>
      <c r="AP12" s="107">
        <f t="shared" si="25"/>
        <v>1050000</v>
      </c>
      <c r="AQ12" s="111"/>
      <c r="AR12" s="63"/>
      <c r="AS12" s="107">
        <f t="shared" ref="AS12:BD12" si="26">SUM(AS9:AS11)</f>
        <v>0</v>
      </c>
      <c r="AT12" s="107">
        <f t="shared" si="26"/>
        <v>0</v>
      </c>
      <c r="AU12" s="107">
        <f t="shared" si="26"/>
        <v>0</v>
      </c>
      <c r="AV12" s="107">
        <f t="shared" si="26"/>
        <v>0</v>
      </c>
      <c r="AW12" s="107">
        <f t="shared" si="26"/>
        <v>0</v>
      </c>
      <c r="AX12" s="107">
        <f t="shared" si="26"/>
        <v>1050000</v>
      </c>
      <c r="AY12" s="107">
        <f t="shared" si="26"/>
        <v>0</v>
      </c>
      <c r="AZ12" s="107">
        <f t="shared" si="26"/>
        <v>0</v>
      </c>
      <c r="BA12" s="107">
        <f t="shared" si="26"/>
        <v>0</v>
      </c>
      <c r="BB12" s="107">
        <f t="shared" si="26"/>
        <v>0</v>
      </c>
      <c r="BC12" s="107">
        <f t="shared" si="26"/>
        <v>0</v>
      </c>
      <c r="BD12" s="107">
        <f t="shared" si="26"/>
        <v>0</v>
      </c>
      <c r="BE12" s="107">
        <f t="shared" si="20"/>
        <v>1050000</v>
      </c>
      <c r="BF12" s="111"/>
      <c r="BG12" s="65"/>
      <c r="BH12" s="107">
        <f t="shared" ref="BH12:BS12" si="27">SUM(BH9:BH11)</f>
        <v>0</v>
      </c>
      <c r="BI12" s="107">
        <f t="shared" si="27"/>
        <v>0</v>
      </c>
      <c r="BJ12" s="107">
        <f t="shared" si="27"/>
        <v>0</v>
      </c>
      <c r="BK12" s="107">
        <f t="shared" si="27"/>
        <v>0</v>
      </c>
      <c r="BL12" s="107">
        <f t="shared" si="27"/>
        <v>0</v>
      </c>
      <c r="BM12" s="107">
        <f t="shared" si="27"/>
        <v>1050000</v>
      </c>
      <c r="BN12" s="107">
        <f t="shared" si="27"/>
        <v>0</v>
      </c>
      <c r="BO12" s="107">
        <f t="shared" si="27"/>
        <v>0</v>
      </c>
      <c r="BP12" s="107">
        <f t="shared" si="27"/>
        <v>0</v>
      </c>
      <c r="BQ12" s="107">
        <f t="shared" si="27"/>
        <v>0</v>
      </c>
      <c r="BR12" s="107">
        <f t="shared" si="27"/>
        <v>0</v>
      </c>
      <c r="BS12" s="107">
        <f t="shared" si="27"/>
        <v>0</v>
      </c>
      <c r="BT12" s="107">
        <f t="shared" si="21"/>
        <v>1050000</v>
      </c>
      <c r="BU12" s="107"/>
      <c r="BV12" s="59"/>
      <c r="BW12" s="107">
        <f t="shared" ref="BW12:CH12" si="28">SUM(BW9:BW11)</f>
        <v>0</v>
      </c>
      <c r="BX12" s="107">
        <f t="shared" si="28"/>
        <v>0</v>
      </c>
      <c r="BY12" s="107">
        <f t="shared" si="28"/>
        <v>0</v>
      </c>
      <c r="BZ12" s="107">
        <f t="shared" si="28"/>
        <v>0</v>
      </c>
      <c r="CA12" s="107">
        <f t="shared" si="28"/>
        <v>0</v>
      </c>
      <c r="CB12" s="107">
        <f t="shared" si="28"/>
        <v>1050000</v>
      </c>
      <c r="CC12" s="107">
        <f t="shared" si="28"/>
        <v>0</v>
      </c>
      <c r="CD12" s="107">
        <f t="shared" si="28"/>
        <v>0</v>
      </c>
      <c r="CE12" s="107">
        <f t="shared" si="28"/>
        <v>0</v>
      </c>
      <c r="CF12" s="107">
        <f t="shared" si="28"/>
        <v>0</v>
      </c>
      <c r="CG12" s="107">
        <f t="shared" si="28"/>
        <v>0</v>
      </c>
      <c r="CH12" s="107">
        <f t="shared" si="28"/>
        <v>0</v>
      </c>
      <c r="CI12" s="107">
        <f>SUM(BX12:CH12)</f>
        <v>1050000</v>
      </c>
      <c r="CJ12" s="111"/>
      <c r="CK12" s="112"/>
      <c r="CL12" s="63"/>
    </row>
    <row r="13" ht="21.0" customHeight="1">
      <c r="A13" s="59"/>
      <c r="B13" s="59"/>
      <c r="C13" s="65"/>
      <c r="D13" s="65"/>
      <c r="E13" s="65"/>
      <c r="F13" s="65"/>
      <c r="G13" s="65"/>
      <c r="H13" s="65"/>
      <c r="I13" s="65"/>
      <c r="J13" s="65"/>
      <c r="K13" s="87"/>
      <c r="L13" s="89"/>
      <c r="M13" s="63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87"/>
      <c r="AA13" s="65"/>
      <c r="AB13" s="89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3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59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100"/>
      <c r="CL13" s="63"/>
    </row>
    <row r="14" ht="21.0" customHeight="1">
      <c r="A14" s="59"/>
      <c r="B14" s="59"/>
      <c r="C14" s="65"/>
      <c r="D14" s="65"/>
      <c r="E14" s="65"/>
      <c r="F14" s="65"/>
      <c r="G14" s="65"/>
      <c r="H14" s="65"/>
      <c r="I14" s="65"/>
      <c r="J14" s="65"/>
      <c r="K14" s="87"/>
      <c r="L14" s="89"/>
      <c r="M14" s="63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87"/>
      <c r="AA14" s="65"/>
      <c r="AB14" s="89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3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59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100"/>
      <c r="CL14" s="63"/>
    </row>
    <row r="15" ht="21.0" customHeight="1">
      <c r="A15" s="59"/>
      <c r="B15" s="59"/>
      <c r="C15" s="65"/>
      <c r="D15" s="65"/>
      <c r="E15" s="65"/>
      <c r="F15" s="65"/>
      <c r="G15" s="65"/>
      <c r="H15" s="65"/>
      <c r="I15" s="65"/>
      <c r="J15" s="65"/>
      <c r="K15" s="87"/>
      <c r="L15" s="89"/>
      <c r="M15" s="63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87"/>
      <c r="AA15" s="65"/>
      <c r="AB15" s="89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3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59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100"/>
      <c r="CL15" s="63"/>
    </row>
    <row r="16" ht="21.0" customHeight="1">
      <c r="A16" s="59"/>
      <c r="B16" s="116" t="s">
        <v>157</v>
      </c>
      <c r="C16" s="65"/>
      <c r="D16" s="65"/>
      <c r="E16" s="65"/>
      <c r="F16" s="65"/>
      <c r="G16" s="65"/>
      <c r="H16" s="65"/>
      <c r="I16" s="65"/>
      <c r="J16" s="65"/>
      <c r="K16" s="87"/>
      <c r="L16" s="98">
        <f>SUM(K17)</f>
        <v>2100</v>
      </c>
      <c r="M16" s="63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87"/>
      <c r="AA16" s="88">
        <f>SUM(Z17)</f>
        <v>11450</v>
      </c>
      <c r="AB16" s="89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88">
        <f>SUM(AP17)</f>
        <v>41000.26313</v>
      </c>
      <c r="AR16" s="63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88">
        <f>SUM(BE17)</f>
        <v>58800</v>
      </c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88">
        <f>SUM(BT17)</f>
        <v>74250.25</v>
      </c>
      <c r="BV16" s="59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88">
        <f>SUM(CI17)</f>
        <v>94950.5</v>
      </c>
      <c r="CK16" s="91">
        <f>L16+AA16+AQ16+BF16+BU16+CJ16</f>
        <v>282551.0131</v>
      </c>
      <c r="CL16" s="63"/>
    </row>
    <row r="17" ht="21.0" customHeight="1">
      <c r="A17" s="92"/>
      <c r="B17" s="93" t="s">
        <v>158</v>
      </c>
      <c r="C17" s="94">
        <v>0.0</v>
      </c>
      <c r="D17" s="94">
        <v>0.0</v>
      </c>
      <c r="E17" s="94">
        <v>0.0</v>
      </c>
      <c r="F17" s="94">
        <v>600.0</v>
      </c>
      <c r="G17" s="94">
        <v>500.0</v>
      </c>
      <c r="H17" s="94">
        <v>400.0</v>
      </c>
      <c r="I17" s="94">
        <v>300.0</v>
      </c>
      <c r="J17" s="94">
        <v>300.0</v>
      </c>
      <c r="K17" s="97">
        <f t="shared" ref="K17:K18" si="35">SUM(C17:J17)</f>
        <v>2100</v>
      </c>
      <c r="L17" s="89"/>
      <c r="M17" s="63"/>
      <c r="N17" s="94">
        <v>300.0</v>
      </c>
      <c r="O17" s="94">
        <v>300.0</v>
      </c>
      <c r="P17" s="94">
        <v>400.0</v>
      </c>
      <c r="Q17" s="94">
        <v>400.0</v>
      </c>
      <c r="R17" s="94">
        <v>400.0</v>
      </c>
      <c r="S17" s="94">
        <f t="shared" ref="S17:T17" si="29">R17/2</f>
        <v>200</v>
      </c>
      <c r="T17" s="94">
        <f t="shared" si="29"/>
        <v>100</v>
      </c>
      <c r="U17" s="94">
        <v>1300.0</v>
      </c>
      <c r="V17" s="94">
        <f>U17*1.9</f>
        <v>2470</v>
      </c>
      <c r="W17" s="94">
        <v>3520.0</v>
      </c>
      <c r="X17" s="94">
        <f>$U$17</f>
        <v>1300</v>
      </c>
      <c r="Y17" s="94">
        <v>760.0</v>
      </c>
      <c r="Z17" s="97">
        <f>SUM(N17:Y17)</f>
        <v>11450</v>
      </c>
      <c r="AA17" s="65"/>
      <c r="AB17" s="98">
        <f>SUM(K17,Z17)</f>
        <v>13550</v>
      </c>
      <c r="AC17" s="65"/>
      <c r="AD17" s="94">
        <v>4200.0</v>
      </c>
      <c r="AE17" s="94">
        <f>AD17*1.3</f>
        <v>5460</v>
      </c>
      <c r="AF17" s="94">
        <f>AE17*0.95</f>
        <v>5187</v>
      </c>
      <c r="AG17" s="94">
        <f t="shared" ref="AG17:AH17" si="30">AF17*0.85</f>
        <v>4408.95</v>
      </c>
      <c r="AH17" s="94">
        <f t="shared" si="30"/>
        <v>3747.6075</v>
      </c>
      <c r="AI17" s="94">
        <f t="shared" ref="AI17:AJ17" si="31">AH17/2</f>
        <v>1873.80375</v>
      </c>
      <c r="AJ17" s="94">
        <f t="shared" si="31"/>
        <v>936.901875</v>
      </c>
      <c r="AK17" s="94">
        <v>3586.0</v>
      </c>
      <c r="AL17" s="94">
        <v>3700.0</v>
      </c>
      <c r="AM17" s="94">
        <v>3700.0</v>
      </c>
      <c r="AN17" s="94">
        <v>2200.0</v>
      </c>
      <c r="AO17" s="94">
        <v>2000.0</v>
      </c>
      <c r="AP17" s="99">
        <f>SUM(AD17:AO17)</f>
        <v>41000.26313</v>
      </c>
      <c r="AQ17" s="65"/>
      <c r="AR17" s="63"/>
      <c r="AS17" s="94">
        <v>4035.0</v>
      </c>
      <c r="AT17" s="94">
        <v>4035.0</v>
      </c>
      <c r="AU17" s="94">
        <v>4980.0</v>
      </c>
      <c r="AV17" s="94">
        <v>4980.0</v>
      </c>
      <c r="AW17" s="94">
        <v>4980.0</v>
      </c>
      <c r="AX17" s="94">
        <f>AW17/2</f>
        <v>2490</v>
      </c>
      <c r="AY17" s="94">
        <f>AX17</f>
        <v>2490</v>
      </c>
      <c r="AZ17" s="94">
        <v>5495.0</v>
      </c>
      <c r="BA17" s="94">
        <f>AZ17*2</f>
        <v>10990</v>
      </c>
      <c r="BB17" s="94">
        <f>BA17/2</f>
        <v>5495</v>
      </c>
      <c r="BC17" s="94">
        <v>4580.0</v>
      </c>
      <c r="BD17" s="94">
        <v>4250.0</v>
      </c>
      <c r="BE17" s="99">
        <f>SUM(AS17:BD17)</f>
        <v>58800</v>
      </c>
      <c r="BF17" s="65"/>
      <c r="BG17" s="65"/>
      <c r="BH17" s="94">
        <f>AZ17</f>
        <v>5495</v>
      </c>
      <c r="BI17" s="94">
        <v>10495.0</v>
      </c>
      <c r="BJ17" s="94">
        <v>5714.0</v>
      </c>
      <c r="BK17" s="94">
        <v>5495.0</v>
      </c>
      <c r="BL17" s="94">
        <v>6495.0</v>
      </c>
      <c r="BM17" s="94">
        <f t="shared" ref="BM17:BN17" si="32">BL17/2</f>
        <v>3247.5</v>
      </c>
      <c r="BN17" s="94">
        <f t="shared" si="32"/>
        <v>1623.75</v>
      </c>
      <c r="BO17" s="94">
        <v>6495.0</v>
      </c>
      <c r="BP17" s="94">
        <f>BO17*2</f>
        <v>12990</v>
      </c>
      <c r="BQ17" s="94">
        <v>5995.0</v>
      </c>
      <c r="BR17" s="94">
        <v>5695.0</v>
      </c>
      <c r="BS17" s="94">
        <v>4510.0</v>
      </c>
      <c r="BT17" s="99">
        <f>SUM(BH17:BS17)</f>
        <v>74250.25</v>
      </c>
      <c r="BU17" s="65"/>
      <c r="BV17" s="59"/>
      <c r="BW17" s="94">
        <v>8695.0</v>
      </c>
      <c r="BX17" s="94">
        <v>8695.0</v>
      </c>
      <c r="BY17" s="99">
        <v>6735.0</v>
      </c>
      <c r="BZ17" s="99">
        <v>7297.0</v>
      </c>
      <c r="CA17" s="94">
        <v>7990.0</v>
      </c>
      <c r="CB17" s="94">
        <f t="shared" ref="CB17:CC17" si="33">CA17/2</f>
        <v>3995</v>
      </c>
      <c r="CC17" s="94">
        <f t="shared" si="33"/>
        <v>1997.5</v>
      </c>
      <c r="CD17" s="94">
        <v>8995.0</v>
      </c>
      <c r="CE17" s="94">
        <f>CD17*2</f>
        <v>17990</v>
      </c>
      <c r="CF17" s="94">
        <f>CE17/2</f>
        <v>8995</v>
      </c>
      <c r="CG17" s="94">
        <v>6990.0</v>
      </c>
      <c r="CH17" s="94">
        <v>6576.0</v>
      </c>
      <c r="CI17" s="99">
        <f>SUM(BW17:CH17)</f>
        <v>94950.5</v>
      </c>
      <c r="CJ17" s="65"/>
      <c r="CK17" s="100"/>
      <c r="CL17" s="63"/>
    </row>
    <row r="18" ht="21.0" customHeight="1">
      <c r="A18" s="101"/>
      <c r="B18" s="102" t="s">
        <v>86</v>
      </c>
      <c r="C18" s="107">
        <f t="shared" ref="C18:J18" si="34">SUM(C17)</f>
        <v>0</v>
      </c>
      <c r="D18" s="107">
        <f t="shared" si="34"/>
        <v>0</v>
      </c>
      <c r="E18" s="107">
        <f t="shared" si="34"/>
        <v>0</v>
      </c>
      <c r="F18" s="107">
        <f t="shared" si="34"/>
        <v>600</v>
      </c>
      <c r="G18" s="107">
        <f t="shared" si="34"/>
        <v>500</v>
      </c>
      <c r="H18" s="107">
        <f t="shared" si="34"/>
        <v>400</v>
      </c>
      <c r="I18" s="107">
        <f t="shared" si="34"/>
        <v>300</v>
      </c>
      <c r="J18" s="107">
        <f t="shared" si="34"/>
        <v>300</v>
      </c>
      <c r="K18" s="108">
        <f t="shared" si="35"/>
        <v>2100</v>
      </c>
      <c r="L18" s="109"/>
      <c r="M18" s="63"/>
      <c r="N18" s="107">
        <f t="shared" ref="N18:Z18" si="36">SUM(N17)</f>
        <v>300</v>
      </c>
      <c r="O18" s="107">
        <f t="shared" si="36"/>
        <v>300</v>
      </c>
      <c r="P18" s="107">
        <f t="shared" si="36"/>
        <v>400</v>
      </c>
      <c r="Q18" s="107">
        <f t="shared" si="36"/>
        <v>400</v>
      </c>
      <c r="R18" s="107">
        <f t="shared" si="36"/>
        <v>400</v>
      </c>
      <c r="S18" s="107">
        <f t="shared" si="36"/>
        <v>200</v>
      </c>
      <c r="T18" s="107">
        <f t="shared" si="36"/>
        <v>100</v>
      </c>
      <c r="U18" s="107">
        <f t="shared" si="36"/>
        <v>1300</v>
      </c>
      <c r="V18" s="107">
        <f t="shared" si="36"/>
        <v>2470</v>
      </c>
      <c r="W18" s="107">
        <f t="shared" si="36"/>
        <v>3520</v>
      </c>
      <c r="X18" s="107">
        <f t="shared" si="36"/>
        <v>1300</v>
      </c>
      <c r="Y18" s="107">
        <f t="shared" si="36"/>
        <v>760</v>
      </c>
      <c r="Z18" s="108">
        <f t="shared" si="36"/>
        <v>11450</v>
      </c>
      <c r="AA18" s="107"/>
      <c r="AB18" s="109"/>
      <c r="AC18" s="65"/>
      <c r="AD18" s="107">
        <f t="shared" ref="AD18:AP18" si="37">SUM(AD17)</f>
        <v>4200</v>
      </c>
      <c r="AE18" s="107">
        <f t="shared" si="37"/>
        <v>5460</v>
      </c>
      <c r="AF18" s="107">
        <f t="shared" si="37"/>
        <v>5187</v>
      </c>
      <c r="AG18" s="107">
        <f t="shared" si="37"/>
        <v>4408.95</v>
      </c>
      <c r="AH18" s="107">
        <f t="shared" si="37"/>
        <v>3747.6075</v>
      </c>
      <c r="AI18" s="107">
        <f t="shared" si="37"/>
        <v>1873.80375</v>
      </c>
      <c r="AJ18" s="107">
        <f t="shared" si="37"/>
        <v>936.901875</v>
      </c>
      <c r="AK18" s="107">
        <f t="shared" si="37"/>
        <v>3586</v>
      </c>
      <c r="AL18" s="107">
        <f t="shared" si="37"/>
        <v>3700</v>
      </c>
      <c r="AM18" s="107">
        <f t="shared" si="37"/>
        <v>3700</v>
      </c>
      <c r="AN18" s="107">
        <f t="shared" si="37"/>
        <v>2200</v>
      </c>
      <c r="AO18" s="107">
        <f t="shared" si="37"/>
        <v>2000</v>
      </c>
      <c r="AP18" s="107">
        <f t="shared" si="37"/>
        <v>41000.26313</v>
      </c>
      <c r="AQ18" s="111"/>
      <c r="AR18" s="63"/>
      <c r="AS18" s="107">
        <f t="shared" ref="AS18:BE18" si="38">SUM(AS17)</f>
        <v>4035</v>
      </c>
      <c r="AT18" s="107">
        <f t="shared" si="38"/>
        <v>4035</v>
      </c>
      <c r="AU18" s="107">
        <f t="shared" si="38"/>
        <v>4980</v>
      </c>
      <c r="AV18" s="107">
        <f t="shared" si="38"/>
        <v>4980</v>
      </c>
      <c r="AW18" s="107">
        <f t="shared" si="38"/>
        <v>4980</v>
      </c>
      <c r="AX18" s="107">
        <f t="shared" si="38"/>
        <v>2490</v>
      </c>
      <c r="AY18" s="107">
        <f t="shared" si="38"/>
        <v>2490</v>
      </c>
      <c r="AZ18" s="107">
        <f t="shared" si="38"/>
        <v>5495</v>
      </c>
      <c r="BA18" s="107">
        <f t="shared" si="38"/>
        <v>10990</v>
      </c>
      <c r="BB18" s="107">
        <f t="shared" si="38"/>
        <v>5495</v>
      </c>
      <c r="BC18" s="107">
        <f t="shared" si="38"/>
        <v>4580</v>
      </c>
      <c r="BD18" s="107">
        <f t="shared" si="38"/>
        <v>4250</v>
      </c>
      <c r="BE18" s="107">
        <f t="shared" si="38"/>
        <v>58800</v>
      </c>
      <c r="BF18" s="111"/>
      <c r="BG18" s="65"/>
      <c r="BH18" s="107">
        <f t="shared" ref="BH18:BT18" si="39">SUM(BH17)</f>
        <v>5495</v>
      </c>
      <c r="BI18" s="107">
        <f t="shared" si="39"/>
        <v>10495</v>
      </c>
      <c r="BJ18" s="107">
        <f t="shared" si="39"/>
        <v>5714</v>
      </c>
      <c r="BK18" s="107">
        <f t="shared" si="39"/>
        <v>5495</v>
      </c>
      <c r="BL18" s="107">
        <f t="shared" si="39"/>
        <v>6495</v>
      </c>
      <c r="BM18" s="107">
        <f t="shared" si="39"/>
        <v>3247.5</v>
      </c>
      <c r="BN18" s="107">
        <f t="shared" si="39"/>
        <v>1623.75</v>
      </c>
      <c r="BO18" s="107">
        <f t="shared" si="39"/>
        <v>6495</v>
      </c>
      <c r="BP18" s="107">
        <f t="shared" si="39"/>
        <v>12990</v>
      </c>
      <c r="BQ18" s="107">
        <f t="shared" si="39"/>
        <v>5995</v>
      </c>
      <c r="BR18" s="107">
        <f t="shared" si="39"/>
        <v>5695</v>
      </c>
      <c r="BS18" s="107">
        <f t="shared" si="39"/>
        <v>4510</v>
      </c>
      <c r="BT18" s="107">
        <f t="shared" si="39"/>
        <v>74250.25</v>
      </c>
      <c r="BU18" s="107"/>
      <c r="BV18" s="59"/>
      <c r="BW18" s="107">
        <f t="shared" ref="BW18:CI18" si="40">SUM(BW17)</f>
        <v>8695</v>
      </c>
      <c r="BX18" s="107">
        <f t="shared" si="40"/>
        <v>8695</v>
      </c>
      <c r="BY18" s="107">
        <f t="shared" si="40"/>
        <v>6735</v>
      </c>
      <c r="BZ18" s="107">
        <f t="shared" si="40"/>
        <v>7297</v>
      </c>
      <c r="CA18" s="107">
        <f t="shared" si="40"/>
        <v>7990</v>
      </c>
      <c r="CB18" s="107">
        <f t="shared" si="40"/>
        <v>3995</v>
      </c>
      <c r="CC18" s="107">
        <f t="shared" si="40"/>
        <v>1997.5</v>
      </c>
      <c r="CD18" s="107">
        <f t="shared" si="40"/>
        <v>8995</v>
      </c>
      <c r="CE18" s="107">
        <f t="shared" si="40"/>
        <v>17990</v>
      </c>
      <c r="CF18" s="107">
        <f t="shared" si="40"/>
        <v>8995</v>
      </c>
      <c r="CG18" s="107">
        <f t="shared" si="40"/>
        <v>6990</v>
      </c>
      <c r="CH18" s="107">
        <f t="shared" si="40"/>
        <v>6576</v>
      </c>
      <c r="CI18" s="107">
        <f t="shared" si="40"/>
        <v>94950.5</v>
      </c>
      <c r="CJ18" s="111"/>
      <c r="CK18" s="112"/>
      <c r="CL18" s="63"/>
    </row>
    <row r="19" ht="21.0" customHeight="1">
      <c r="A19" s="59"/>
      <c r="B19" s="59"/>
      <c r="C19" s="65"/>
      <c r="D19" s="65"/>
      <c r="E19" s="65"/>
      <c r="F19" s="65"/>
      <c r="G19" s="65"/>
      <c r="H19" s="65"/>
      <c r="I19" s="65"/>
      <c r="J19" s="65"/>
      <c r="K19" s="87"/>
      <c r="L19" s="89"/>
      <c r="M19" s="63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87"/>
      <c r="AA19" s="65"/>
      <c r="AB19" s="89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3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59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100"/>
      <c r="CL19" s="63"/>
    </row>
    <row r="20" ht="21.0" customHeight="1">
      <c r="A20" s="59"/>
      <c r="B20" s="59"/>
      <c r="C20" s="65"/>
      <c r="D20" s="65"/>
      <c r="E20" s="65"/>
      <c r="F20" s="65"/>
      <c r="G20" s="65"/>
      <c r="H20" s="65"/>
      <c r="I20" s="65"/>
      <c r="J20" s="65"/>
      <c r="K20" s="87"/>
      <c r="L20" s="89"/>
      <c r="M20" s="63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87"/>
      <c r="AA20" s="65"/>
      <c r="AB20" s="89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3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59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100"/>
      <c r="CL20" s="63"/>
    </row>
    <row r="21" ht="21.0" customHeight="1">
      <c r="A21" s="59"/>
      <c r="B21" s="116" t="s">
        <v>159</v>
      </c>
      <c r="C21" s="65"/>
      <c r="D21" s="65"/>
      <c r="E21" s="65"/>
      <c r="F21" s="65"/>
      <c r="G21" s="65"/>
      <c r="H21" s="65"/>
      <c r="I21" s="65"/>
      <c r="J21" s="65"/>
      <c r="K21" s="87"/>
      <c r="L21" s="98">
        <f>SUM(K22:K23)</f>
        <v>89200</v>
      </c>
      <c r="M21" s="63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87"/>
      <c r="AA21" s="88">
        <f>SUM(Z22:Z23)</f>
        <v>159125</v>
      </c>
      <c r="AB21" s="89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88">
        <f>SUM(AP22:AP23)</f>
        <v>279500</v>
      </c>
      <c r="AR21" s="63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88">
        <f>SUM(BE22:BE23)</f>
        <v>346200</v>
      </c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88">
        <f>SUM(BT22:BT23)</f>
        <v>387750</v>
      </c>
      <c r="BV21" s="59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88">
        <f>SUM(CI22:CI23)</f>
        <v>422250</v>
      </c>
      <c r="CK21" s="91">
        <f>L21+AA21+AQ21+BF21+BU21+CJ21</f>
        <v>1684025</v>
      </c>
      <c r="CL21" s="63"/>
    </row>
    <row r="22" ht="21.0" customHeight="1">
      <c r="A22" s="59"/>
      <c r="B22" s="93" t="s">
        <v>160</v>
      </c>
      <c r="C22" s="94">
        <v>0.0</v>
      </c>
      <c r="D22" s="94">
        <v>7350.0</v>
      </c>
      <c r="E22" s="94">
        <v>7350.0</v>
      </c>
      <c r="F22" s="94">
        <v>7350.0</v>
      </c>
      <c r="G22" s="94">
        <v>9700.0</v>
      </c>
      <c r="H22" s="94">
        <v>9700.0</v>
      </c>
      <c r="I22" s="94">
        <v>9700.0</v>
      </c>
      <c r="J22" s="94">
        <v>7350.0</v>
      </c>
      <c r="K22" s="97">
        <f t="shared" ref="K22:K23" si="41">SUM(C22:J22)</f>
        <v>58500</v>
      </c>
      <c r="L22" s="89"/>
      <c r="M22" s="63"/>
      <c r="N22" s="94">
        <v>7350.0</v>
      </c>
      <c r="O22" s="94">
        <v>7350.0</v>
      </c>
      <c r="P22" s="94">
        <v>7350.0</v>
      </c>
      <c r="Q22" s="94">
        <v>7350.0</v>
      </c>
      <c r="R22" s="94">
        <v>7350.0</v>
      </c>
      <c r="S22" s="94">
        <v>7350.0</v>
      </c>
      <c r="T22" s="94">
        <v>7400.0</v>
      </c>
      <c r="U22" s="94">
        <v>7400.0</v>
      </c>
      <c r="V22" s="94">
        <v>7400.0</v>
      </c>
      <c r="W22" s="94">
        <v>7400.0</v>
      </c>
      <c r="X22" s="94">
        <v>7400.0</v>
      </c>
      <c r="Y22" s="94">
        <v>7400.0</v>
      </c>
      <c r="Z22" s="97">
        <f t="shared" ref="Z22:Z23" si="42">SUM(N22:Y22)</f>
        <v>88500</v>
      </c>
      <c r="AA22" s="65"/>
      <c r="AB22" s="98">
        <f t="shared" ref="AB22:AB23" si="43">SUM(K22,Z22)</f>
        <v>147000</v>
      </c>
      <c r="AC22" s="65"/>
      <c r="AD22" s="94">
        <v>13000.0</v>
      </c>
      <c r="AE22" s="94">
        <v>13000.0</v>
      </c>
      <c r="AF22" s="94">
        <v>13500.0</v>
      </c>
      <c r="AG22" s="94">
        <v>13500.0</v>
      </c>
      <c r="AH22" s="94">
        <v>14250.0</v>
      </c>
      <c r="AI22" s="94">
        <v>14250.0</v>
      </c>
      <c r="AJ22" s="94">
        <v>14250.0</v>
      </c>
      <c r="AK22" s="94">
        <v>14250.0</v>
      </c>
      <c r="AL22" s="94">
        <v>14250.0</v>
      </c>
      <c r="AM22" s="94">
        <v>14250.0</v>
      </c>
      <c r="AN22" s="94">
        <v>14250.0</v>
      </c>
      <c r="AO22" s="94">
        <v>14250.0</v>
      </c>
      <c r="AP22" s="99">
        <f t="shared" ref="AP22:AP23" si="44">SUM(AD22:AO22)</f>
        <v>167000</v>
      </c>
      <c r="AQ22" s="65"/>
      <c r="AR22" s="63"/>
      <c r="AS22" s="94">
        <v>18333.0</v>
      </c>
      <c r="AT22" s="94">
        <v>18333.0</v>
      </c>
      <c r="AU22" s="94">
        <v>18333.0</v>
      </c>
      <c r="AV22" s="94">
        <v>18333.0</v>
      </c>
      <c r="AW22" s="94">
        <v>18333.0</v>
      </c>
      <c r="AX22" s="94">
        <v>18333.0</v>
      </c>
      <c r="AY22" s="94">
        <v>18333.0</v>
      </c>
      <c r="AZ22" s="94">
        <v>18333.0</v>
      </c>
      <c r="BA22" s="94">
        <v>18333.0</v>
      </c>
      <c r="BB22" s="94">
        <v>18333.0</v>
      </c>
      <c r="BC22" s="94">
        <v>18335.0</v>
      </c>
      <c r="BD22" s="94">
        <v>18335.0</v>
      </c>
      <c r="BE22" s="99">
        <f t="shared" ref="BE22:BE24" si="45">SUM(AS22:BD22)</f>
        <v>220000</v>
      </c>
      <c r="BF22" s="65"/>
      <c r="BG22" s="65"/>
      <c r="BH22" s="94">
        <v>18300.0</v>
      </c>
      <c r="BI22" s="94">
        <v>19200.0</v>
      </c>
      <c r="BJ22" s="94">
        <v>19750.0</v>
      </c>
      <c r="BK22" s="94">
        <v>19750.0</v>
      </c>
      <c r="BL22" s="94">
        <v>19750.0</v>
      </c>
      <c r="BM22" s="94">
        <v>19250.0</v>
      </c>
      <c r="BN22" s="94">
        <v>19250.0</v>
      </c>
      <c r="BO22" s="94">
        <v>19250.0</v>
      </c>
      <c r="BP22" s="94">
        <v>19750.0</v>
      </c>
      <c r="BQ22" s="94">
        <v>19250.0</v>
      </c>
      <c r="BR22" s="94">
        <v>19250.0</v>
      </c>
      <c r="BS22" s="94">
        <v>19250.0</v>
      </c>
      <c r="BT22" s="99">
        <f t="shared" ref="BT22:BT24" si="46">SUM(BH22:BS22)</f>
        <v>232000</v>
      </c>
      <c r="BU22" s="65"/>
      <c r="BV22" s="59"/>
      <c r="BW22" s="94">
        <v>18300.0</v>
      </c>
      <c r="BX22" s="94">
        <v>19200.0</v>
      </c>
      <c r="BY22" s="94">
        <v>19750.0</v>
      </c>
      <c r="BZ22" s="94">
        <v>19750.0</v>
      </c>
      <c r="CA22" s="94">
        <v>19750.0</v>
      </c>
      <c r="CB22" s="94">
        <v>19250.0</v>
      </c>
      <c r="CC22" s="94">
        <v>19250.0</v>
      </c>
      <c r="CD22" s="94">
        <v>19250.0</v>
      </c>
      <c r="CE22" s="94">
        <v>19750.0</v>
      </c>
      <c r="CF22" s="94">
        <v>19250.0</v>
      </c>
      <c r="CG22" s="94">
        <v>19250.0</v>
      </c>
      <c r="CH22" s="94">
        <v>19250.0</v>
      </c>
      <c r="CI22" s="99">
        <f t="shared" ref="CI22:CI24" si="47">SUM(BW22:CH22)</f>
        <v>232000</v>
      </c>
      <c r="CJ22" s="65"/>
      <c r="CK22" s="117">
        <f t="shared" ref="CK22:CK23" si="48">K22+Z22+AP22+BE22+BT22+CI22</f>
        <v>998000</v>
      </c>
      <c r="CL22" s="63"/>
    </row>
    <row r="23" ht="21.0" customHeight="1">
      <c r="A23" s="59"/>
      <c r="B23" s="93" t="s">
        <v>161</v>
      </c>
      <c r="C23" s="94">
        <v>4100.0</v>
      </c>
      <c r="D23" s="94">
        <v>3500.0</v>
      </c>
      <c r="E23" s="94">
        <v>3500.0</v>
      </c>
      <c r="F23" s="94">
        <v>3500.0</v>
      </c>
      <c r="G23" s="94">
        <v>4200.0</v>
      </c>
      <c r="H23" s="94">
        <v>4200.0</v>
      </c>
      <c r="I23" s="94">
        <v>4200.0</v>
      </c>
      <c r="J23" s="94">
        <v>3500.0</v>
      </c>
      <c r="K23" s="97">
        <f t="shared" si="41"/>
        <v>30700</v>
      </c>
      <c r="L23" s="89"/>
      <c r="M23" s="63"/>
      <c r="N23" s="94">
        <v>3425.0</v>
      </c>
      <c r="O23" s="94">
        <v>3500.0</v>
      </c>
      <c r="P23" s="94">
        <v>3500.0</v>
      </c>
      <c r="Q23" s="94">
        <v>4200.0</v>
      </c>
      <c r="R23" s="94">
        <v>6250.0</v>
      </c>
      <c r="S23" s="94">
        <v>6250.0</v>
      </c>
      <c r="T23" s="94">
        <v>7250.0</v>
      </c>
      <c r="U23" s="94">
        <v>7250.0</v>
      </c>
      <c r="V23" s="94">
        <v>7250.0</v>
      </c>
      <c r="W23" s="94">
        <v>7250.0</v>
      </c>
      <c r="X23" s="94">
        <v>7250.0</v>
      </c>
      <c r="Y23" s="94">
        <v>7250.0</v>
      </c>
      <c r="Z23" s="97">
        <f t="shared" si="42"/>
        <v>70625</v>
      </c>
      <c r="AA23" s="65"/>
      <c r="AB23" s="98">
        <f t="shared" si="43"/>
        <v>101325</v>
      </c>
      <c r="AC23" s="65"/>
      <c r="AD23" s="94">
        <v>7525.0</v>
      </c>
      <c r="AE23" s="94">
        <v>7525.0</v>
      </c>
      <c r="AF23" s="94">
        <v>7525.0</v>
      </c>
      <c r="AG23" s="94">
        <v>9525.0</v>
      </c>
      <c r="AH23" s="94">
        <v>10300.0</v>
      </c>
      <c r="AI23" s="94">
        <v>10300.0</v>
      </c>
      <c r="AJ23" s="94">
        <v>10300.0</v>
      </c>
      <c r="AK23" s="94">
        <v>10300.0</v>
      </c>
      <c r="AL23" s="94">
        <v>10300.0</v>
      </c>
      <c r="AM23" s="94">
        <v>10300.0</v>
      </c>
      <c r="AN23" s="94">
        <v>10300.0</v>
      </c>
      <c r="AO23" s="94">
        <v>8300.0</v>
      </c>
      <c r="AP23" s="99">
        <f t="shared" si="44"/>
        <v>112500</v>
      </c>
      <c r="AQ23" s="65"/>
      <c r="AR23" s="63"/>
      <c r="AS23" s="94">
        <v>8300.0</v>
      </c>
      <c r="AT23" s="94">
        <v>8700.0</v>
      </c>
      <c r="AU23" s="94">
        <v>9100.0</v>
      </c>
      <c r="AV23" s="94">
        <v>11700.0</v>
      </c>
      <c r="AW23" s="94">
        <v>12300.0</v>
      </c>
      <c r="AX23" s="94">
        <v>11500.0</v>
      </c>
      <c r="AY23" s="94">
        <v>11500.0</v>
      </c>
      <c r="AZ23" s="94">
        <v>10500.0</v>
      </c>
      <c r="BA23" s="94">
        <v>11500.0</v>
      </c>
      <c r="BB23" s="94">
        <v>11500.0</v>
      </c>
      <c r="BC23" s="94">
        <v>10000.0</v>
      </c>
      <c r="BD23" s="94">
        <v>9600.0</v>
      </c>
      <c r="BE23" s="99">
        <f t="shared" si="45"/>
        <v>126200</v>
      </c>
      <c r="BF23" s="65"/>
      <c r="BG23" s="65"/>
      <c r="BH23" s="94">
        <v>10200.0</v>
      </c>
      <c r="BI23" s="94">
        <v>11500.0</v>
      </c>
      <c r="BJ23" s="94">
        <v>12300.0</v>
      </c>
      <c r="BK23" s="94">
        <v>13350.0</v>
      </c>
      <c r="BL23" s="94">
        <v>13550.0</v>
      </c>
      <c r="BM23" s="94">
        <v>13550.0</v>
      </c>
      <c r="BN23" s="94">
        <v>13550.0</v>
      </c>
      <c r="BO23" s="94">
        <v>13550.0</v>
      </c>
      <c r="BP23" s="94">
        <v>13550.0</v>
      </c>
      <c r="BQ23" s="94">
        <v>13550.0</v>
      </c>
      <c r="BR23" s="94">
        <v>13550.0</v>
      </c>
      <c r="BS23" s="94">
        <v>13550.0</v>
      </c>
      <c r="BT23" s="99">
        <f t="shared" si="46"/>
        <v>155750</v>
      </c>
      <c r="BU23" s="65"/>
      <c r="BV23" s="59"/>
      <c r="BW23" s="94">
        <v>14400.0</v>
      </c>
      <c r="BX23" s="94">
        <v>15850.0</v>
      </c>
      <c r="BY23" s="94">
        <v>16350.0</v>
      </c>
      <c r="BZ23" s="94">
        <v>15850.0</v>
      </c>
      <c r="CA23" s="94">
        <v>15850.0</v>
      </c>
      <c r="CB23" s="94">
        <v>15850.0</v>
      </c>
      <c r="CC23" s="94">
        <v>15850.0</v>
      </c>
      <c r="CD23" s="94">
        <v>15850.0</v>
      </c>
      <c r="CE23" s="94">
        <v>16350.0</v>
      </c>
      <c r="CF23" s="94">
        <v>16350.0</v>
      </c>
      <c r="CG23" s="94">
        <v>15850.0</v>
      </c>
      <c r="CH23" s="94">
        <v>15850.0</v>
      </c>
      <c r="CI23" s="99">
        <f t="shared" si="47"/>
        <v>190250</v>
      </c>
      <c r="CJ23" s="65"/>
      <c r="CK23" s="117">
        <f t="shared" si="48"/>
        <v>686025</v>
      </c>
      <c r="CL23" s="63"/>
    </row>
    <row r="24" ht="21.0" customHeight="1">
      <c r="A24" s="101"/>
      <c r="B24" s="102" t="s">
        <v>86</v>
      </c>
      <c r="C24" s="107">
        <f t="shared" ref="C24:K24" si="49">SUM(C22:C23)</f>
        <v>4100</v>
      </c>
      <c r="D24" s="107">
        <f t="shared" si="49"/>
        <v>10850</v>
      </c>
      <c r="E24" s="107">
        <f t="shared" si="49"/>
        <v>10850</v>
      </c>
      <c r="F24" s="107">
        <f t="shared" si="49"/>
        <v>10850</v>
      </c>
      <c r="G24" s="107">
        <f t="shared" si="49"/>
        <v>13900</v>
      </c>
      <c r="H24" s="107">
        <f t="shared" si="49"/>
        <v>13900</v>
      </c>
      <c r="I24" s="107">
        <f t="shared" si="49"/>
        <v>13900</v>
      </c>
      <c r="J24" s="107">
        <f t="shared" si="49"/>
        <v>10850</v>
      </c>
      <c r="K24" s="108">
        <f t="shared" si="49"/>
        <v>89200</v>
      </c>
      <c r="L24" s="109"/>
      <c r="M24" s="63"/>
      <c r="N24" s="107">
        <f t="shared" ref="N24:Z24" si="50">SUM(N22:N23)</f>
        <v>10775</v>
      </c>
      <c r="O24" s="107">
        <f t="shared" si="50"/>
        <v>10850</v>
      </c>
      <c r="P24" s="107">
        <f t="shared" si="50"/>
        <v>10850</v>
      </c>
      <c r="Q24" s="107">
        <f t="shared" si="50"/>
        <v>11550</v>
      </c>
      <c r="R24" s="107">
        <f t="shared" si="50"/>
        <v>13600</v>
      </c>
      <c r="S24" s="107">
        <f t="shared" si="50"/>
        <v>13600</v>
      </c>
      <c r="T24" s="107">
        <f t="shared" si="50"/>
        <v>14650</v>
      </c>
      <c r="U24" s="107">
        <f t="shared" si="50"/>
        <v>14650</v>
      </c>
      <c r="V24" s="107">
        <f t="shared" si="50"/>
        <v>14650</v>
      </c>
      <c r="W24" s="107">
        <f t="shared" si="50"/>
        <v>14650</v>
      </c>
      <c r="X24" s="107">
        <f t="shared" si="50"/>
        <v>14650</v>
      </c>
      <c r="Y24" s="107">
        <f t="shared" si="50"/>
        <v>14650</v>
      </c>
      <c r="Z24" s="108">
        <f t="shared" si="50"/>
        <v>159125</v>
      </c>
      <c r="AA24" s="107"/>
      <c r="AB24" s="109"/>
      <c r="AC24" s="65"/>
      <c r="AD24" s="107">
        <f t="shared" ref="AD24:AP24" si="51">SUM(AD22:AD23)</f>
        <v>20525</v>
      </c>
      <c r="AE24" s="107">
        <f t="shared" si="51"/>
        <v>20525</v>
      </c>
      <c r="AF24" s="107">
        <f t="shared" si="51"/>
        <v>21025</v>
      </c>
      <c r="AG24" s="107">
        <f t="shared" si="51"/>
        <v>23025</v>
      </c>
      <c r="AH24" s="107">
        <f t="shared" si="51"/>
        <v>24550</v>
      </c>
      <c r="AI24" s="107">
        <f t="shared" si="51"/>
        <v>24550</v>
      </c>
      <c r="AJ24" s="107">
        <f t="shared" si="51"/>
        <v>24550</v>
      </c>
      <c r="AK24" s="107">
        <f t="shared" si="51"/>
        <v>24550</v>
      </c>
      <c r="AL24" s="107">
        <f t="shared" si="51"/>
        <v>24550</v>
      </c>
      <c r="AM24" s="107">
        <f t="shared" si="51"/>
        <v>24550</v>
      </c>
      <c r="AN24" s="107">
        <f t="shared" si="51"/>
        <v>24550</v>
      </c>
      <c r="AO24" s="107">
        <f t="shared" si="51"/>
        <v>22550</v>
      </c>
      <c r="AP24" s="107">
        <f t="shared" si="51"/>
        <v>279500</v>
      </c>
      <c r="AQ24" s="111"/>
      <c r="AR24" s="63"/>
      <c r="AS24" s="107">
        <f t="shared" ref="AS24:BD24" si="52">SUM(AS22:AS23)</f>
        <v>26633</v>
      </c>
      <c r="AT24" s="107">
        <f t="shared" si="52"/>
        <v>27033</v>
      </c>
      <c r="AU24" s="107">
        <f t="shared" si="52"/>
        <v>27433</v>
      </c>
      <c r="AV24" s="107">
        <f t="shared" si="52"/>
        <v>30033</v>
      </c>
      <c r="AW24" s="107">
        <f t="shared" si="52"/>
        <v>30633</v>
      </c>
      <c r="AX24" s="107">
        <f t="shared" si="52"/>
        <v>29833</v>
      </c>
      <c r="AY24" s="107">
        <f t="shared" si="52"/>
        <v>29833</v>
      </c>
      <c r="AZ24" s="107">
        <f t="shared" si="52"/>
        <v>28833</v>
      </c>
      <c r="BA24" s="107">
        <f t="shared" si="52"/>
        <v>29833</v>
      </c>
      <c r="BB24" s="107">
        <f t="shared" si="52"/>
        <v>29833</v>
      </c>
      <c r="BC24" s="107">
        <f t="shared" si="52"/>
        <v>28335</v>
      </c>
      <c r="BD24" s="107">
        <f t="shared" si="52"/>
        <v>27935</v>
      </c>
      <c r="BE24" s="107">
        <f t="shared" si="45"/>
        <v>346200</v>
      </c>
      <c r="BF24" s="111"/>
      <c r="BG24" s="65"/>
      <c r="BH24" s="107">
        <f t="shared" ref="BH24:BS24" si="53">SUM(BH22:BH23)</f>
        <v>28500</v>
      </c>
      <c r="BI24" s="107">
        <f t="shared" si="53"/>
        <v>30700</v>
      </c>
      <c r="BJ24" s="107">
        <f t="shared" si="53"/>
        <v>32050</v>
      </c>
      <c r="BK24" s="107">
        <f t="shared" si="53"/>
        <v>33100</v>
      </c>
      <c r="BL24" s="107">
        <f t="shared" si="53"/>
        <v>33300</v>
      </c>
      <c r="BM24" s="107">
        <f t="shared" si="53"/>
        <v>32800</v>
      </c>
      <c r="BN24" s="107">
        <f t="shared" si="53"/>
        <v>32800</v>
      </c>
      <c r="BO24" s="107">
        <f t="shared" si="53"/>
        <v>32800</v>
      </c>
      <c r="BP24" s="107">
        <f t="shared" si="53"/>
        <v>33300</v>
      </c>
      <c r="BQ24" s="107">
        <f t="shared" si="53"/>
        <v>32800</v>
      </c>
      <c r="BR24" s="107">
        <f t="shared" si="53"/>
        <v>32800</v>
      </c>
      <c r="BS24" s="107">
        <f t="shared" si="53"/>
        <v>32800</v>
      </c>
      <c r="BT24" s="107">
        <f t="shared" si="46"/>
        <v>387750</v>
      </c>
      <c r="BU24" s="107"/>
      <c r="BV24" s="59"/>
      <c r="BW24" s="107">
        <f t="shared" ref="BW24:CH24" si="54">SUM(BW22:BW23)</f>
        <v>32700</v>
      </c>
      <c r="BX24" s="107">
        <f t="shared" si="54"/>
        <v>35050</v>
      </c>
      <c r="BY24" s="107">
        <f t="shared" si="54"/>
        <v>36100</v>
      </c>
      <c r="BZ24" s="107">
        <f t="shared" si="54"/>
        <v>35600</v>
      </c>
      <c r="CA24" s="107">
        <f t="shared" si="54"/>
        <v>35600</v>
      </c>
      <c r="CB24" s="107">
        <f t="shared" si="54"/>
        <v>35100</v>
      </c>
      <c r="CC24" s="107">
        <f t="shared" si="54"/>
        <v>35100</v>
      </c>
      <c r="CD24" s="107">
        <f t="shared" si="54"/>
        <v>35100</v>
      </c>
      <c r="CE24" s="107">
        <f t="shared" si="54"/>
        <v>36100</v>
      </c>
      <c r="CF24" s="107">
        <f t="shared" si="54"/>
        <v>35600</v>
      </c>
      <c r="CG24" s="107">
        <f t="shared" si="54"/>
        <v>35100</v>
      </c>
      <c r="CH24" s="107">
        <f t="shared" si="54"/>
        <v>35100</v>
      </c>
      <c r="CI24" s="107">
        <f t="shared" si="47"/>
        <v>422250</v>
      </c>
      <c r="CJ24" s="111"/>
      <c r="CK24" s="112"/>
      <c r="CL24" s="63"/>
    </row>
    <row r="25" ht="21.0" customHeight="1">
      <c r="A25" s="59"/>
      <c r="B25" s="59"/>
      <c r="C25" s="65"/>
      <c r="D25" s="65"/>
      <c r="E25" s="65"/>
      <c r="F25" s="65"/>
      <c r="G25" s="65"/>
      <c r="H25" s="65"/>
      <c r="I25" s="65"/>
      <c r="J25" s="65"/>
      <c r="K25" s="87"/>
      <c r="L25" s="89"/>
      <c r="M25" s="63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87"/>
      <c r="AA25" s="65"/>
      <c r="AB25" s="89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3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59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100"/>
      <c r="CL25" s="63"/>
    </row>
    <row r="26" ht="21.0" customHeight="1">
      <c r="A26" s="59"/>
      <c r="B26" s="59"/>
      <c r="C26" s="65"/>
      <c r="D26" s="65"/>
      <c r="E26" s="65"/>
      <c r="F26" s="65"/>
      <c r="G26" s="65"/>
      <c r="H26" s="65"/>
      <c r="I26" s="65"/>
      <c r="J26" s="65"/>
      <c r="K26" s="87"/>
      <c r="L26" s="89"/>
      <c r="M26" s="63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87"/>
      <c r="AA26" s="65"/>
      <c r="AB26" s="89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3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59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100"/>
      <c r="CL26" s="63"/>
    </row>
    <row r="27" ht="21.0" customHeight="1">
      <c r="A27" s="59"/>
      <c r="B27" s="116" t="s">
        <v>162</v>
      </c>
      <c r="C27" s="65"/>
      <c r="D27" s="65"/>
      <c r="E27" s="65"/>
      <c r="F27" s="65"/>
      <c r="G27" s="65"/>
      <c r="H27" s="65"/>
      <c r="I27" s="65"/>
      <c r="J27" s="65"/>
      <c r="K27" s="87"/>
      <c r="L27" s="118">
        <f>SUM(K29:K32)</f>
        <v>0</v>
      </c>
      <c r="M27" s="63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87"/>
      <c r="AA27" s="119">
        <f t="shared" ref="AA27:AB27" si="55">SUM(Z29:Z32)</f>
        <v>0</v>
      </c>
      <c r="AB27" s="118">
        <f t="shared" si="55"/>
        <v>0</v>
      </c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119">
        <f>SUM(AP29:AP32)</f>
        <v>0</v>
      </c>
      <c r="AR27" s="63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119">
        <f>SUM(BE29:BE32)</f>
        <v>0</v>
      </c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119">
        <f>SUM(BT29:BT32)</f>
        <v>0</v>
      </c>
      <c r="BV27" s="59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119">
        <f>SUM(CI29:CI32)</f>
        <v>0</v>
      </c>
      <c r="CK27" s="91">
        <f>L27+AA27+AQ27+BF27+BU27+CJ27</f>
        <v>0</v>
      </c>
      <c r="CL27" s="63"/>
    </row>
    <row r="28" ht="21.0" customHeight="1">
      <c r="A28" s="59"/>
      <c r="B28" s="93" t="s">
        <v>163</v>
      </c>
      <c r="C28" s="65"/>
      <c r="D28" s="65"/>
      <c r="E28" s="65"/>
      <c r="F28" s="94">
        <v>44150.0</v>
      </c>
      <c r="G28" s="65"/>
      <c r="H28" s="65"/>
      <c r="I28" s="65"/>
      <c r="J28" s="65"/>
      <c r="K28" s="87"/>
      <c r="L28" s="89"/>
      <c r="M28" s="63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87"/>
      <c r="AA28" s="65"/>
      <c r="AB28" s="89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3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59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100"/>
      <c r="CL28" s="63"/>
    </row>
    <row r="29" ht="21.0" customHeight="1">
      <c r="A29" s="92"/>
      <c r="B29" s="93" t="s">
        <v>164</v>
      </c>
      <c r="C29" s="65"/>
      <c r="D29" s="65"/>
      <c r="E29" s="65"/>
      <c r="F29" s="65"/>
      <c r="G29" s="65"/>
      <c r="H29" s="65"/>
      <c r="I29" s="65"/>
      <c r="J29" s="65"/>
      <c r="K29" s="97">
        <f t="shared" ref="K29:K33" si="56">SUM(C29:J29)</f>
        <v>0</v>
      </c>
      <c r="L29" s="89"/>
      <c r="M29" s="63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97">
        <f t="shared" ref="Z29:Z33" si="57">SUM(R29:Y29)</f>
        <v>0</v>
      </c>
      <c r="AA29" s="65"/>
      <c r="AB29" s="89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99">
        <f t="shared" ref="AP29:AP32" si="58">SUM(AH29:AO29)</f>
        <v>0</v>
      </c>
      <c r="AQ29" s="65"/>
      <c r="AR29" s="63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99">
        <f t="shared" ref="BE29:BE32" si="59">SUM(AS29:BD29)</f>
        <v>0</v>
      </c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99">
        <f t="shared" ref="BT29:BT33" si="60">SUM(BH29:BS29)</f>
        <v>0</v>
      </c>
      <c r="BU29" s="65"/>
      <c r="BV29" s="59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99">
        <f t="shared" ref="CI29:CI33" si="61">SUM(BW29:CH29)</f>
        <v>0</v>
      </c>
      <c r="CJ29" s="65"/>
      <c r="CK29" s="100"/>
      <c r="CL29" s="63"/>
    </row>
    <row r="30" ht="21.0" customHeight="1">
      <c r="A30" s="92"/>
      <c r="B30" s="93" t="s">
        <v>165</v>
      </c>
      <c r="C30" s="65"/>
      <c r="D30" s="65"/>
      <c r="E30" s="65"/>
      <c r="F30" s="65"/>
      <c r="G30" s="65"/>
      <c r="H30" s="65"/>
      <c r="I30" s="65"/>
      <c r="J30" s="65"/>
      <c r="K30" s="97">
        <f t="shared" si="56"/>
        <v>0</v>
      </c>
      <c r="L30" s="89"/>
      <c r="M30" s="63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97">
        <f t="shared" si="57"/>
        <v>0</v>
      </c>
      <c r="AA30" s="65"/>
      <c r="AB30" s="89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99">
        <f t="shared" si="58"/>
        <v>0</v>
      </c>
      <c r="AQ30" s="65"/>
      <c r="AR30" s="63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99">
        <f t="shared" si="59"/>
        <v>0</v>
      </c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99">
        <f t="shared" si="60"/>
        <v>0</v>
      </c>
      <c r="BU30" s="65"/>
      <c r="BV30" s="59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99">
        <f t="shared" si="61"/>
        <v>0</v>
      </c>
      <c r="CJ30" s="65"/>
      <c r="CK30" s="100"/>
      <c r="CL30" s="63"/>
    </row>
    <row r="31" ht="21.0" customHeight="1">
      <c r="A31" s="92"/>
      <c r="B31" s="93" t="s">
        <v>155</v>
      </c>
      <c r="C31" s="65"/>
      <c r="D31" s="65"/>
      <c r="E31" s="65"/>
      <c r="F31" s="65"/>
      <c r="G31" s="65"/>
      <c r="H31" s="65"/>
      <c r="I31" s="65"/>
      <c r="J31" s="65"/>
      <c r="K31" s="97">
        <f t="shared" si="56"/>
        <v>0</v>
      </c>
      <c r="L31" s="89"/>
      <c r="M31" s="63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97">
        <f t="shared" si="57"/>
        <v>0</v>
      </c>
      <c r="AA31" s="65"/>
      <c r="AB31" s="89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99">
        <f t="shared" si="58"/>
        <v>0</v>
      </c>
      <c r="AQ31" s="65"/>
      <c r="AR31" s="63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99">
        <f t="shared" si="59"/>
        <v>0</v>
      </c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99">
        <f t="shared" si="60"/>
        <v>0</v>
      </c>
      <c r="BU31" s="65"/>
      <c r="BV31" s="59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99">
        <f t="shared" si="61"/>
        <v>0</v>
      </c>
      <c r="CJ31" s="65"/>
      <c r="CK31" s="100"/>
      <c r="CL31" s="63"/>
    </row>
    <row r="32" ht="21.0" customHeight="1">
      <c r="A32" s="92"/>
      <c r="B32" s="93" t="s">
        <v>166</v>
      </c>
      <c r="C32" s="65"/>
      <c r="D32" s="65"/>
      <c r="E32" s="65"/>
      <c r="F32" s="65"/>
      <c r="G32" s="65"/>
      <c r="H32" s="65"/>
      <c r="I32" s="65"/>
      <c r="J32" s="65"/>
      <c r="K32" s="97">
        <f t="shared" si="56"/>
        <v>0</v>
      </c>
      <c r="L32" s="89"/>
      <c r="M32" s="63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97">
        <f t="shared" si="57"/>
        <v>0</v>
      </c>
      <c r="AA32" s="65"/>
      <c r="AB32" s="89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99">
        <f t="shared" si="58"/>
        <v>0</v>
      </c>
      <c r="AQ32" s="65"/>
      <c r="AR32" s="63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99">
        <f t="shared" si="59"/>
        <v>0</v>
      </c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99">
        <f t="shared" si="60"/>
        <v>0</v>
      </c>
      <c r="BU32" s="65"/>
      <c r="BV32" s="59"/>
      <c r="BW32" s="65"/>
      <c r="BX32" s="65"/>
      <c r="BY32" s="88"/>
      <c r="BZ32" s="88"/>
      <c r="CA32" s="65"/>
      <c r="CB32" s="65"/>
      <c r="CC32" s="65"/>
      <c r="CD32" s="65"/>
      <c r="CE32" s="65"/>
      <c r="CF32" s="65"/>
      <c r="CG32" s="65"/>
      <c r="CH32" s="65"/>
      <c r="CI32" s="99">
        <f t="shared" si="61"/>
        <v>0</v>
      </c>
      <c r="CJ32" s="65"/>
      <c r="CK32" s="100"/>
      <c r="CL32" s="63"/>
    </row>
    <row r="33" ht="21.0" customHeight="1">
      <c r="A33" s="101"/>
      <c r="B33" s="102" t="s">
        <v>86</v>
      </c>
      <c r="C33" s="107">
        <f>SUM(C29:C32)</f>
        <v>0</v>
      </c>
      <c r="D33" s="107">
        <f t="shared" ref="D33:F33" si="62">SUM(D28:D32)</f>
        <v>0</v>
      </c>
      <c r="E33" s="107">
        <f t="shared" si="62"/>
        <v>0</v>
      </c>
      <c r="F33" s="107">
        <f t="shared" si="62"/>
        <v>44150</v>
      </c>
      <c r="G33" s="107">
        <f t="shared" ref="G33:I33" si="63">SUM(G29:G32)</f>
        <v>0</v>
      </c>
      <c r="H33" s="107">
        <f t="shared" si="63"/>
        <v>0</v>
      </c>
      <c r="I33" s="107">
        <f t="shared" si="63"/>
        <v>0</v>
      </c>
      <c r="J33" s="107">
        <f>SUM(J28:J32)</f>
        <v>0</v>
      </c>
      <c r="K33" s="108">
        <f t="shared" si="56"/>
        <v>44150</v>
      </c>
      <c r="L33" s="109"/>
      <c r="M33" s="63"/>
      <c r="N33" s="107">
        <f>SUM(N28:N32)</f>
        <v>0</v>
      </c>
      <c r="O33" s="107">
        <f t="shared" ref="O33:R33" si="64">SUM(O29:O32)</f>
        <v>0</v>
      </c>
      <c r="P33" s="107">
        <f t="shared" si="64"/>
        <v>0</v>
      </c>
      <c r="Q33" s="107">
        <f t="shared" si="64"/>
        <v>0</v>
      </c>
      <c r="R33" s="107">
        <f t="shared" si="64"/>
        <v>0</v>
      </c>
      <c r="S33" s="107">
        <f>SUM(S28:S32)</f>
        <v>0</v>
      </c>
      <c r="T33" s="107">
        <f t="shared" ref="T33:X33" si="65">SUM(T29:T32)</f>
        <v>0</v>
      </c>
      <c r="U33" s="107">
        <f t="shared" si="65"/>
        <v>0</v>
      </c>
      <c r="V33" s="107">
        <f t="shared" si="65"/>
        <v>0</v>
      </c>
      <c r="W33" s="107">
        <f t="shared" si="65"/>
        <v>0</v>
      </c>
      <c r="X33" s="107">
        <f t="shared" si="65"/>
        <v>0</v>
      </c>
      <c r="Y33" s="107">
        <f>SUM(Y28:Y32)</f>
        <v>0</v>
      </c>
      <c r="Z33" s="108">
        <f t="shared" si="57"/>
        <v>0</v>
      </c>
      <c r="AA33" s="107"/>
      <c r="AB33" s="109"/>
      <c r="AC33" s="65"/>
      <c r="AD33" s="107">
        <f>SUM(AD28:AD32)</f>
        <v>0</v>
      </c>
      <c r="AE33" s="107">
        <f t="shared" ref="AE33:AH33" si="66">SUM(AE29:AE32)</f>
        <v>0</v>
      </c>
      <c r="AF33" s="107">
        <f t="shared" si="66"/>
        <v>0</v>
      </c>
      <c r="AG33" s="107">
        <f t="shared" si="66"/>
        <v>0</v>
      </c>
      <c r="AH33" s="107">
        <f t="shared" si="66"/>
        <v>0</v>
      </c>
      <c r="AI33" s="107">
        <f>SUM(AI28:AI32)</f>
        <v>0</v>
      </c>
      <c r="AJ33" s="107">
        <f t="shared" ref="AJ33:AN33" si="67">SUM(AJ29:AJ32)</f>
        <v>0</v>
      </c>
      <c r="AK33" s="107">
        <f t="shared" si="67"/>
        <v>0</v>
      </c>
      <c r="AL33" s="107">
        <f t="shared" si="67"/>
        <v>0</v>
      </c>
      <c r="AM33" s="107">
        <f t="shared" si="67"/>
        <v>0</v>
      </c>
      <c r="AN33" s="107">
        <f t="shared" si="67"/>
        <v>0</v>
      </c>
      <c r="AO33" s="107">
        <f t="shared" ref="AO33:AP33" si="68">SUM(AO28:AO32)</f>
        <v>0</v>
      </c>
      <c r="AP33" s="107">
        <f t="shared" si="68"/>
        <v>0</v>
      </c>
      <c r="AQ33" s="111"/>
      <c r="AR33" s="63"/>
      <c r="AS33" s="107">
        <f>SUM(AS28:AS32)</f>
        <v>0</v>
      </c>
      <c r="AT33" s="107">
        <f t="shared" ref="AT33:AW33" si="69">SUM(AT29:AT32)</f>
        <v>0</v>
      </c>
      <c r="AU33" s="107">
        <f t="shared" si="69"/>
        <v>0</v>
      </c>
      <c r="AV33" s="111">
        <f t="shared" si="69"/>
        <v>0</v>
      </c>
      <c r="AW33" s="107">
        <f t="shared" si="69"/>
        <v>0</v>
      </c>
      <c r="AX33" s="107">
        <f>SUM(AX28:AX32)</f>
        <v>0</v>
      </c>
      <c r="AY33" s="107">
        <f t="shared" ref="AY33:BC33" si="70">SUM(AY29:AY32)</f>
        <v>0</v>
      </c>
      <c r="AZ33" s="107">
        <f t="shared" si="70"/>
        <v>0</v>
      </c>
      <c r="BA33" s="107">
        <f t="shared" si="70"/>
        <v>0</v>
      </c>
      <c r="BB33" s="107">
        <f t="shared" si="70"/>
        <v>0</v>
      </c>
      <c r="BC33" s="107">
        <f t="shared" si="70"/>
        <v>0</v>
      </c>
      <c r="BD33" s="107">
        <f t="shared" ref="BD33:BE33" si="71">SUM(BD28:BD32)</f>
        <v>0</v>
      </c>
      <c r="BE33" s="107">
        <f t="shared" si="71"/>
        <v>0</v>
      </c>
      <c r="BF33" s="111"/>
      <c r="BG33" s="65"/>
      <c r="BH33" s="107">
        <f>SUM(BH28:BH32)</f>
        <v>0</v>
      </c>
      <c r="BI33" s="107">
        <f t="shared" ref="BI33:BL33" si="72">SUM(BI29:BI32)</f>
        <v>0</v>
      </c>
      <c r="BJ33" s="107">
        <f t="shared" si="72"/>
        <v>0</v>
      </c>
      <c r="BK33" s="107">
        <f t="shared" si="72"/>
        <v>0</v>
      </c>
      <c r="BL33" s="107">
        <f t="shared" si="72"/>
        <v>0</v>
      </c>
      <c r="BM33" s="107">
        <f>SUM(BM28:BM32)</f>
        <v>0</v>
      </c>
      <c r="BN33" s="107">
        <f t="shared" ref="BN33:BR33" si="73">SUM(BN29:BN32)</f>
        <v>0</v>
      </c>
      <c r="BO33" s="107">
        <f t="shared" si="73"/>
        <v>0</v>
      </c>
      <c r="BP33" s="107">
        <f t="shared" si="73"/>
        <v>0</v>
      </c>
      <c r="BQ33" s="107">
        <f t="shared" si="73"/>
        <v>0</v>
      </c>
      <c r="BR33" s="107">
        <f t="shared" si="73"/>
        <v>0</v>
      </c>
      <c r="BS33" s="107">
        <f>SUM(BS28:BS32)</f>
        <v>0</v>
      </c>
      <c r="BT33" s="120">
        <f t="shared" si="60"/>
        <v>0</v>
      </c>
      <c r="BU33" s="107"/>
      <c r="BV33" s="59"/>
      <c r="BW33" s="107">
        <f>SUM(BW28:BW32)</f>
        <v>0</v>
      </c>
      <c r="BX33" s="107">
        <f t="shared" ref="BX33:CA33" si="74">SUM(BX29:BX32)</f>
        <v>0</v>
      </c>
      <c r="BY33" s="107">
        <f t="shared" si="74"/>
        <v>0</v>
      </c>
      <c r="BZ33" s="107">
        <f t="shared" si="74"/>
        <v>0</v>
      </c>
      <c r="CA33" s="107">
        <f t="shared" si="74"/>
        <v>0</v>
      </c>
      <c r="CB33" s="107">
        <f>SUM(CB28:CB32)</f>
        <v>0</v>
      </c>
      <c r="CC33" s="107">
        <f t="shared" ref="CC33:CG33" si="75">SUM(CC29:CC32)</f>
        <v>0</v>
      </c>
      <c r="CD33" s="107">
        <f t="shared" si="75"/>
        <v>0</v>
      </c>
      <c r="CE33" s="107">
        <f t="shared" si="75"/>
        <v>0</v>
      </c>
      <c r="CF33" s="107">
        <f t="shared" si="75"/>
        <v>0</v>
      </c>
      <c r="CG33" s="107">
        <f t="shared" si="75"/>
        <v>0</v>
      </c>
      <c r="CH33" s="107">
        <f>SUM(CH28:CH32)</f>
        <v>0</v>
      </c>
      <c r="CI33" s="120">
        <f t="shared" si="61"/>
        <v>0</v>
      </c>
      <c r="CJ33" s="111"/>
      <c r="CK33" s="112"/>
      <c r="CL33" s="63"/>
    </row>
    <row r="34" ht="21.0" customHeight="1">
      <c r="A34" s="59"/>
      <c r="B34" s="59"/>
      <c r="C34" s="65"/>
      <c r="D34" s="65"/>
      <c r="E34" s="65"/>
      <c r="F34" s="65"/>
      <c r="G34" s="65"/>
      <c r="H34" s="65"/>
      <c r="I34" s="65"/>
      <c r="J34" s="65"/>
      <c r="K34" s="87"/>
      <c r="L34" s="89"/>
      <c r="M34" s="63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87"/>
      <c r="AA34" s="65"/>
      <c r="AB34" s="89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3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59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100"/>
      <c r="CL34" s="63"/>
    </row>
    <row r="35" ht="21.0" customHeight="1">
      <c r="A35" s="59"/>
      <c r="B35" s="59"/>
      <c r="C35" s="65"/>
      <c r="D35" s="65"/>
      <c r="E35" s="65"/>
      <c r="F35" s="65"/>
      <c r="G35" s="65"/>
      <c r="H35" s="65"/>
      <c r="I35" s="65"/>
      <c r="J35" s="65"/>
      <c r="K35" s="87"/>
      <c r="L35" s="89"/>
      <c r="M35" s="63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87"/>
      <c r="AA35" s="65"/>
      <c r="AB35" s="89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3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59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100"/>
      <c r="CL35" s="63"/>
    </row>
    <row r="36" ht="21.0" customHeight="1">
      <c r="A36" s="59"/>
      <c r="B36" s="116" t="s">
        <v>167</v>
      </c>
      <c r="C36" s="65"/>
      <c r="D36" s="65"/>
      <c r="E36" s="65"/>
      <c r="F36" s="65"/>
      <c r="G36" s="65"/>
      <c r="H36" s="65"/>
      <c r="I36" s="65"/>
      <c r="J36" s="65"/>
      <c r="K36" s="87"/>
      <c r="L36" s="89"/>
      <c r="M36" s="63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87"/>
      <c r="AA36" s="65"/>
      <c r="AB36" s="89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3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59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100"/>
      <c r="CL36" s="63"/>
    </row>
    <row r="37" ht="21.0" customHeight="1">
      <c r="A37" s="59"/>
      <c r="B37" s="93" t="s">
        <v>168</v>
      </c>
      <c r="C37" s="94">
        <f t="shared" ref="C37:J37" si="76">C5*0.2</f>
        <v>0</v>
      </c>
      <c r="D37" s="94">
        <f t="shared" si="76"/>
        <v>0</v>
      </c>
      <c r="E37" s="94">
        <f t="shared" si="76"/>
        <v>0</v>
      </c>
      <c r="F37" s="94">
        <f t="shared" si="76"/>
        <v>0</v>
      </c>
      <c r="G37" s="94">
        <f t="shared" si="76"/>
        <v>600</v>
      </c>
      <c r="H37" s="94">
        <f t="shared" si="76"/>
        <v>600</v>
      </c>
      <c r="I37" s="94">
        <f t="shared" si="76"/>
        <v>800</v>
      </c>
      <c r="J37" s="94">
        <f t="shared" si="76"/>
        <v>1000</v>
      </c>
      <c r="K37" s="87"/>
      <c r="L37" s="89"/>
      <c r="M37" s="63"/>
      <c r="N37" s="94">
        <f t="shared" ref="N37:Y37" si="77">N5*0.2</f>
        <v>1400</v>
      </c>
      <c r="O37" s="94">
        <f t="shared" si="77"/>
        <v>1800</v>
      </c>
      <c r="P37" s="94">
        <f t="shared" si="77"/>
        <v>2600</v>
      </c>
      <c r="Q37" s="94">
        <f t="shared" si="77"/>
        <v>3000</v>
      </c>
      <c r="R37" s="94">
        <f t="shared" si="77"/>
        <v>3600</v>
      </c>
      <c r="S37" s="94">
        <f t="shared" si="77"/>
        <v>4000</v>
      </c>
      <c r="T37" s="94">
        <f t="shared" si="77"/>
        <v>2000</v>
      </c>
      <c r="U37" s="94">
        <f t="shared" si="77"/>
        <v>1000</v>
      </c>
      <c r="V37" s="94">
        <f t="shared" si="77"/>
        <v>5057</v>
      </c>
      <c r="W37" s="94">
        <f t="shared" si="77"/>
        <v>7585.5</v>
      </c>
      <c r="X37" s="94">
        <f t="shared" si="77"/>
        <v>9102.6</v>
      </c>
      <c r="Y37" s="94">
        <f t="shared" si="77"/>
        <v>10923.12</v>
      </c>
      <c r="Z37" s="87"/>
      <c r="AA37" s="65"/>
      <c r="AB37" s="89"/>
      <c r="AC37" s="65"/>
      <c r="AD37" s="94">
        <f t="shared" ref="AD37:AO37" si="78">AD5*0.2</f>
        <v>10756</v>
      </c>
      <c r="AE37" s="94">
        <f t="shared" si="78"/>
        <v>13707.2</v>
      </c>
      <c r="AF37" s="94">
        <f t="shared" si="78"/>
        <v>14118.416</v>
      </c>
      <c r="AG37" s="94">
        <f t="shared" si="78"/>
        <v>13412.4952</v>
      </c>
      <c r="AH37" s="94">
        <f t="shared" si="78"/>
        <v>13130.12688</v>
      </c>
      <c r="AI37" s="94">
        <f t="shared" si="78"/>
        <v>12706.5744</v>
      </c>
      <c r="AJ37" s="94">
        <f t="shared" si="78"/>
        <v>6353.2872</v>
      </c>
      <c r="AK37" s="94">
        <f t="shared" si="78"/>
        <v>3176.6436</v>
      </c>
      <c r="AL37" s="94">
        <f t="shared" si="78"/>
        <v>13659.56748</v>
      </c>
      <c r="AM37" s="94">
        <f t="shared" si="78"/>
        <v>13659.56748</v>
      </c>
      <c r="AN37" s="94">
        <f t="shared" si="78"/>
        <v>12706.5744</v>
      </c>
      <c r="AO37" s="94">
        <f t="shared" si="78"/>
        <v>12261.8443</v>
      </c>
      <c r="AP37" s="65"/>
      <c r="AQ37" s="65"/>
      <c r="AR37" s="63"/>
      <c r="AS37" s="94">
        <f t="shared" ref="AS37:BD37" si="79">AS5*0.2</f>
        <v>6343</v>
      </c>
      <c r="AT37" s="94">
        <f t="shared" si="79"/>
        <v>12706.5744</v>
      </c>
      <c r="AU37" s="94">
        <f t="shared" si="79"/>
        <v>14294.8962</v>
      </c>
      <c r="AV37" s="94">
        <f t="shared" si="79"/>
        <v>21442.3443</v>
      </c>
      <c r="AW37" s="94">
        <f t="shared" si="79"/>
        <v>22157.08911</v>
      </c>
      <c r="AX37" s="94">
        <f t="shared" si="79"/>
        <v>21442.3443</v>
      </c>
      <c r="AY37" s="94">
        <f t="shared" si="79"/>
        <v>10721.17215</v>
      </c>
      <c r="AZ37" s="94">
        <f t="shared" si="79"/>
        <v>5360.586075</v>
      </c>
      <c r="BA37" s="94">
        <f t="shared" si="79"/>
        <v>21442.3443</v>
      </c>
      <c r="BB37" s="94">
        <f t="shared" si="79"/>
        <v>22514.46152</v>
      </c>
      <c r="BC37" s="94">
        <f t="shared" si="79"/>
        <v>22042.72994</v>
      </c>
      <c r="BD37" s="94">
        <f t="shared" si="79"/>
        <v>20938.44921</v>
      </c>
      <c r="BE37" s="65"/>
      <c r="BF37" s="65"/>
      <c r="BG37" s="65"/>
      <c r="BH37" s="94">
        <f t="shared" ref="BH37:BS37" si="80">BH5*0.2</f>
        <v>18754.375</v>
      </c>
      <c r="BI37" s="94">
        <f t="shared" si="80"/>
        <v>18754.375</v>
      </c>
      <c r="BJ37" s="94">
        <f t="shared" si="80"/>
        <v>18191.74375</v>
      </c>
      <c r="BK37" s="94">
        <f t="shared" si="80"/>
        <v>22236.5052</v>
      </c>
      <c r="BL37" s="94">
        <f t="shared" si="80"/>
        <v>22903.60036</v>
      </c>
      <c r="BM37" s="94">
        <f t="shared" si="80"/>
        <v>20613.24032</v>
      </c>
      <c r="BN37" s="94">
        <f t="shared" si="80"/>
        <v>10306.62016</v>
      </c>
      <c r="BO37" s="94">
        <f t="shared" si="80"/>
        <v>5153.31008</v>
      </c>
      <c r="BP37" s="94">
        <f t="shared" si="80"/>
        <v>30919.86048</v>
      </c>
      <c r="BQ37" s="94">
        <f t="shared" si="80"/>
        <v>35300.17405</v>
      </c>
      <c r="BR37" s="94">
        <f t="shared" si="80"/>
        <v>35042.50854</v>
      </c>
      <c r="BS37" s="94">
        <f t="shared" si="80"/>
        <v>35042.50854</v>
      </c>
      <c r="BT37" s="65"/>
      <c r="BU37" s="65"/>
      <c r="BV37" s="59"/>
      <c r="BW37" s="94">
        <f t="shared" ref="BW37:CH37" si="81">BW5*0.2</f>
        <v>33829.53125</v>
      </c>
      <c r="BX37" s="94">
        <f t="shared" si="81"/>
        <v>37212.48438</v>
      </c>
      <c r="BY37" s="94">
        <f t="shared" si="81"/>
        <v>38328.85891</v>
      </c>
      <c r="BZ37" s="94">
        <f t="shared" si="81"/>
        <v>38328.85891</v>
      </c>
      <c r="CA37" s="94">
        <f t="shared" si="81"/>
        <v>39478.72467</v>
      </c>
      <c r="CB37" s="94">
        <f t="shared" si="81"/>
        <v>19739.36234</v>
      </c>
      <c r="CC37" s="94">
        <f t="shared" si="81"/>
        <v>9869.681168</v>
      </c>
      <c r="CD37" s="94">
        <f t="shared" si="81"/>
        <v>4934.840584</v>
      </c>
      <c r="CE37" s="94">
        <f t="shared" si="81"/>
        <v>35530.85221</v>
      </c>
      <c r="CF37" s="94">
        <f t="shared" si="81"/>
        <v>36024.33626</v>
      </c>
      <c r="CG37" s="94">
        <f t="shared" si="81"/>
        <v>35601.91391</v>
      </c>
      <c r="CH37" s="94">
        <f t="shared" si="81"/>
        <v>35601.91391</v>
      </c>
      <c r="CI37" s="65"/>
      <c r="CJ37" s="65"/>
      <c r="CK37" s="100"/>
      <c r="CL37" s="63"/>
    </row>
    <row r="38" ht="21.0" customHeight="1">
      <c r="A38" s="59"/>
      <c r="B38" s="93" t="s">
        <v>169</v>
      </c>
      <c r="C38" s="94">
        <v>0.0</v>
      </c>
      <c r="D38" s="94">
        <v>0.0</v>
      </c>
      <c r="E38" s="94">
        <v>0.0</v>
      </c>
      <c r="F38" s="94">
        <v>0.0</v>
      </c>
      <c r="G38" s="94">
        <v>0.0</v>
      </c>
      <c r="H38" s="94">
        <v>0.0</v>
      </c>
      <c r="I38" s="94">
        <v>0.0</v>
      </c>
      <c r="J38" s="94">
        <v>0.0</v>
      </c>
      <c r="K38" s="87"/>
      <c r="L38" s="89"/>
      <c r="M38" s="63"/>
      <c r="N38" s="94">
        <v>0.0</v>
      </c>
      <c r="O38" s="94">
        <v>0.0</v>
      </c>
      <c r="P38" s="94">
        <v>0.0</v>
      </c>
      <c r="Q38" s="94">
        <v>0.0</v>
      </c>
      <c r="R38" s="94">
        <v>0.0</v>
      </c>
      <c r="S38" s="94">
        <v>0.0</v>
      </c>
      <c r="T38" s="94">
        <v>0.0</v>
      </c>
      <c r="U38" s="94">
        <v>0.0</v>
      </c>
      <c r="V38" s="94">
        <v>0.0</v>
      </c>
      <c r="W38" s="94">
        <v>0.0</v>
      </c>
      <c r="X38" s="94">
        <v>0.0</v>
      </c>
      <c r="Y38" s="94">
        <v>0.0</v>
      </c>
      <c r="Z38" s="87"/>
      <c r="AA38" s="65"/>
      <c r="AB38" s="89"/>
      <c r="AC38" s="65"/>
      <c r="AD38" s="94">
        <v>0.0</v>
      </c>
      <c r="AE38" s="94">
        <v>0.0</v>
      </c>
      <c r="AF38" s="94">
        <v>0.0</v>
      </c>
      <c r="AG38" s="94">
        <v>0.0</v>
      </c>
      <c r="AH38" s="94">
        <v>0.0</v>
      </c>
      <c r="AI38" s="94">
        <v>0.0</v>
      </c>
      <c r="AJ38" s="94">
        <v>0.0</v>
      </c>
      <c r="AK38" s="94">
        <v>0.0</v>
      </c>
      <c r="AL38" s="94">
        <v>0.0</v>
      </c>
      <c r="AM38" s="94">
        <v>0.0</v>
      </c>
      <c r="AN38" s="94">
        <v>0.0</v>
      </c>
      <c r="AO38" s="94">
        <v>0.0</v>
      </c>
      <c r="AP38" s="65"/>
      <c r="AQ38" s="65"/>
      <c r="AR38" s="63"/>
      <c r="AS38" s="94">
        <v>0.0</v>
      </c>
      <c r="AT38" s="94">
        <v>0.0</v>
      </c>
      <c r="AU38" s="94">
        <v>0.0</v>
      </c>
      <c r="AV38" s="94">
        <v>0.0</v>
      </c>
      <c r="AW38" s="94">
        <v>0.0</v>
      </c>
      <c r="AX38" s="94">
        <v>0.0</v>
      </c>
      <c r="AY38" s="94">
        <v>0.0</v>
      </c>
      <c r="AZ38" s="94">
        <v>0.0</v>
      </c>
      <c r="BA38" s="94">
        <v>0.0</v>
      </c>
      <c r="BB38" s="94">
        <v>0.0</v>
      </c>
      <c r="BC38" s="94">
        <v>0.0</v>
      </c>
      <c r="BD38" s="94">
        <v>0.0</v>
      </c>
      <c r="BE38" s="65"/>
      <c r="BF38" s="65"/>
      <c r="BG38" s="65"/>
      <c r="BH38" s="94">
        <v>0.0</v>
      </c>
      <c r="BI38" s="94">
        <v>0.0</v>
      </c>
      <c r="BJ38" s="94">
        <v>0.0</v>
      </c>
      <c r="BK38" s="94">
        <v>0.0</v>
      </c>
      <c r="BL38" s="94">
        <v>0.0</v>
      </c>
      <c r="BM38" s="94">
        <v>0.0</v>
      </c>
      <c r="BN38" s="94">
        <v>0.0</v>
      </c>
      <c r="BO38" s="94">
        <v>0.0</v>
      </c>
      <c r="BP38" s="94">
        <v>0.0</v>
      </c>
      <c r="BQ38" s="94">
        <v>0.0</v>
      </c>
      <c r="BR38" s="94">
        <v>0.0</v>
      </c>
      <c r="BS38" s="94">
        <v>0.0</v>
      </c>
      <c r="BT38" s="65"/>
      <c r="BU38" s="65"/>
      <c r="BV38" s="59"/>
      <c r="BW38" s="94">
        <v>0.0</v>
      </c>
      <c r="BX38" s="94">
        <v>0.0</v>
      </c>
      <c r="BY38" s="88">
        <v>0.0</v>
      </c>
      <c r="BZ38" s="88">
        <v>0.0</v>
      </c>
      <c r="CA38" s="94">
        <v>0.0</v>
      </c>
      <c r="CB38" s="94">
        <v>0.0</v>
      </c>
      <c r="CC38" s="94">
        <v>0.0</v>
      </c>
      <c r="CD38" s="94">
        <v>0.0</v>
      </c>
      <c r="CE38" s="94">
        <v>0.0</v>
      </c>
      <c r="CF38" s="94">
        <v>0.0</v>
      </c>
      <c r="CG38" s="94">
        <v>0.0</v>
      </c>
      <c r="CH38" s="94">
        <v>0.0</v>
      </c>
      <c r="CI38" s="65"/>
      <c r="CJ38" s="65"/>
      <c r="CK38" s="100"/>
      <c r="CL38" s="63"/>
    </row>
    <row r="39" ht="21.0" customHeight="1">
      <c r="A39" s="101"/>
      <c r="B39" s="102" t="s">
        <v>86</v>
      </c>
      <c r="C39" s="107">
        <f t="shared" ref="C39:J39" si="82">SUM(C37:C38)</f>
        <v>0</v>
      </c>
      <c r="D39" s="107">
        <f t="shared" si="82"/>
        <v>0</v>
      </c>
      <c r="E39" s="107">
        <f t="shared" si="82"/>
        <v>0</v>
      </c>
      <c r="F39" s="107">
        <f t="shared" si="82"/>
        <v>0</v>
      </c>
      <c r="G39" s="107">
        <f t="shared" si="82"/>
        <v>600</v>
      </c>
      <c r="H39" s="107">
        <f t="shared" si="82"/>
        <v>600</v>
      </c>
      <c r="I39" s="107">
        <f t="shared" si="82"/>
        <v>800</v>
      </c>
      <c r="J39" s="107">
        <f t="shared" si="82"/>
        <v>1000</v>
      </c>
      <c r="K39" s="108">
        <f>SUM(C39:J39)</f>
        <v>3000</v>
      </c>
      <c r="L39" s="109"/>
      <c r="M39" s="63"/>
      <c r="N39" s="107">
        <f t="shared" ref="N39:Y39" si="83">SUM(N37:N38)</f>
        <v>1400</v>
      </c>
      <c r="O39" s="107">
        <f t="shared" si="83"/>
        <v>1800</v>
      </c>
      <c r="P39" s="107">
        <f t="shared" si="83"/>
        <v>2600</v>
      </c>
      <c r="Q39" s="107">
        <f t="shared" si="83"/>
        <v>3000</v>
      </c>
      <c r="R39" s="107">
        <f t="shared" si="83"/>
        <v>3600</v>
      </c>
      <c r="S39" s="107">
        <f t="shared" si="83"/>
        <v>4000</v>
      </c>
      <c r="T39" s="107">
        <f t="shared" si="83"/>
        <v>2000</v>
      </c>
      <c r="U39" s="107">
        <f t="shared" si="83"/>
        <v>1000</v>
      </c>
      <c r="V39" s="107">
        <f t="shared" si="83"/>
        <v>5057</v>
      </c>
      <c r="W39" s="107">
        <f t="shared" si="83"/>
        <v>7585.5</v>
      </c>
      <c r="X39" s="107">
        <f t="shared" si="83"/>
        <v>9102.6</v>
      </c>
      <c r="Y39" s="107">
        <f t="shared" si="83"/>
        <v>10923.12</v>
      </c>
      <c r="Z39" s="108">
        <f>SUM(R39:Y39)</f>
        <v>43268.22</v>
      </c>
      <c r="AA39" s="107"/>
      <c r="AB39" s="109"/>
      <c r="AC39" s="65"/>
      <c r="AD39" s="107">
        <f t="shared" ref="AD39:AO39" si="84">SUM(AD37:AD38)</f>
        <v>10756</v>
      </c>
      <c r="AE39" s="107">
        <f t="shared" si="84"/>
        <v>13707.2</v>
      </c>
      <c r="AF39" s="107">
        <f t="shared" si="84"/>
        <v>14118.416</v>
      </c>
      <c r="AG39" s="107">
        <f t="shared" si="84"/>
        <v>13412.4952</v>
      </c>
      <c r="AH39" s="107">
        <f t="shared" si="84"/>
        <v>13130.12688</v>
      </c>
      <c r="AI39" s="107">
        <f t="shared" si="84"/>
        <v>12706.5744</v>
      </c>
      <c r="AJ39" s="107">
        <f t="shared" si="84"/>
        <v>6353.2872</v>
      </c>
      <c r="AK39" s="107">
        <f t="shared" si="84"/>
        <v>3176.6436</v>
      </c>
      <c r="AL39" s="107">
        <f t="shared" si="84"/>
        <v>13659.56748</v>
      </c>
      <c r="AM39" s="107">
        <f t="shared" si="84"/>
        <v>13659.56748</v>
      </c>
      <c r="AN39" s="107">
        <f t="shared" si="84"/>
        <v>12706.5744</v>
      </c>
      <c r="AO39" s="107">
        <f t="shared" si="84"/>
        <v>12261.8443</v>
      </c>
      <c r="AP39" s="107">
        <f>SUM(AH39:AO39)</f>
        <v>87654.18574</v>
      </c>
      <c r="AQ39" s="111"/>
      <c r="AR39" s="63"/>
      <c r="AS39" s="107">
        <f t="shared" ref="AS39:BD39" si="85">SUM(AS37:AS38)</f>
        <v>6343</v>
      </c>
      <c r="AT39" s="107">
        <f t="shared" si="85"/>
        <v>12706.5744</v>
      </c>
      <c r="AU39" s="107">
        <f t="shared" si="85"/>
        <v>14294.8962</v>
      </c>
      <c r="AV39" s="111">
        <f t="shared" si="85"/>
        <v>21442.3443</v>
      </c>
      <c r="AW39" s="107">
        <f t="shared" si="85"/>
        <v>22157.08911</v>
      </c>
      <c r="AX39" s="107">
        <f t="shared" si="85"/>
        <v>21442.3443</v>
      </c>
      <c r="AY39" s="107">
        <f t="shared" si="85"/>
        <v>10721.17215</v>
      </c>
      <c r="AZ39" s="107">
        <f t="shared" si="85"/>
        <v>5360.586075</v>
      </c>
      <c r="BA39" s="107">
        <f t="shared" si="85"/>
        <v>21442.3443</v>
      </c>
      <c r="BB39" s="107">
        <f t="shared" si="85"/>
        <v>22514.46152</v>
      </c>
      <c r="BC39" s="107">
        <f t="shared" si="85"/>
        <v>22042.72994</v>
      </c>
      <c r="BD39" s="107">
        <f t="shared" si="85"/>
        <v>20938.44921</v>
      </c>
      <c r="BE39" s="120">
        <f>SUM(AS39:BD39)</f>
        <v>201405.9915</v>
      </c>
      <c r="BF39" s="111"/>
      <c r="BG39" s="65"/>
      <c r="BH39" s="107">
        <f t="shared" ref="BH39:BS39" si="86">SUM(BH37:BH38)</f>
        <v>18754.375</v>
      </c>
      <c r="BI39" s="107">
        <f t="shared" si="86"/>
        <v>18754.375</v>
      </c>
      <c r="BJ39" s="107">
        <f t="shared" si="86"/>
        <v>18191.74375</v>
      </c>
      <c r="BK39" s="107">
        <f t="shared" si="86"/>
        <v>22236.5052</v>
      </c>
      <c r="BL39" s="107">
        <f t="shared" si="86"/>
        <v>22903.60036</v>
      </c>
      <c r="BM39" s="107">
        <f t="shared" si="86"/>
        <v>20613.24032</v>
      </c>
      <c r="BN39" s="107">
        <f t="shared" si="86"/>
        <v>10306.62016</v>
      </c>
      <c r="BO39" s="107">
        <f t="shared" si="86"/>
        <v>5153.31008</v>
      </c>
      <c r="BP39" s="107">
        <f t="shared" si="86"/>
        <v>30919.86048</v>
      </c>
      <c r="BQ39" s="107">
        <f t="shared" si="86"/>
        <v>35300.17405</v>
      </c>
      <c r="BR39" s="107">
        <f t="shared" si="86"/>
        <v>35042.50854</v>
      </c>
      <c r="BS39" s="107">
        <f t="shared" si="86"/>
        <v>35042.50854</v>
      </c>
      <c r="BT39" s="107">
        <f>SUM(BH39:BS39)</f>
        <v>273218.8215</v>
      </c>
      <c r="BU39" s="107"/>
      <c r="BV39" s="59"/>
      <c r="BW39" s="107">
        <f t="shared" ref="BW39:CH39" si="87">SUM(BW37:BW38)</f>
        <v>33829.53125</v>
      </c>
      <c r="BX39" s="107">
        <f t="shared" si="87"/>
        <v>37212.48438</v>
      </c>
      <c r="BY39" s="107">
        <f t="shared" si="87"/>
        <v>38328.85891</v>
      </c>
      <c r="BZ39" s="107">
        <f t="shared" si="87"/>
        <v>38328.85891</v>
      </c>
      <c r="CA39" s="107">
        <f t="shared" si="87"/>
        <v>39478.72467</v>
      </c>
      <c r="CB39" s="107">
        <f t="shared" si="87"/>
        <v>19739.36234</v>
      </c>
      <c r="CC39" s="107">
        <f t="shared" si="87"/>
        <v>9869.681168</v>
      </c>
      <c r="CD39" s="107">
        <f t="shared" si="87"/>
        <v>4934.840584</v>
      </c>
      <c r="CE39" s="107">
        <f t="shared" si="87"/>
        <v>35530.85221</v>
      </c>
      <c r="CF39" s="107">
        <f t="shared" si="87"/>
        <v>36024.33626</v>
      </c>
      <c r="CG39" s="107">
        <f t="shared" si="87"/>
        <v>35601.91391</v>
      </c>
      <c r="CH39" s="107">
        <f t="shared" si="87"/>
        <v>35601.91391</v>
      </c>
      <c r="CI39" s="107">
        <f>SUM(BW39:CH39)</f>
        <v>364481.3585</v>
      </c>
      <c r="CJ39" s="111"/>
      <c r="CK39" s="112">
        <f>L38+AA38+AQ38+BF38+BU38+CJ38</f>
        <v>0</v>
      </c>
      <c r="CL39" s="63"/>
    </row>
    <row r="40" ht="33.7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121"/>
      <c r="L40" s="122"/>
      <c r="M40" s="63"/>
      <c r="N40" s="59"/>
      <c r="O40" s="59"/>
      <c r="P40" s="59"/>
      <c r="Q40" s="59"/>
      <c r="R40" s="65"/>
      <c r="S40" s="65"/>
      <c r="T40" s="65"/>
      <c r="U40" s="65"/>
      <c r="V40" s="65"/>
      <c r="W40" s="65"/>
      <c r="X40" s="65"/>
      <c r="Y40" s="65"/>
      <c r="Z40" s="87"/>
      <c r="AA40" s="65"/>
      <c r="AB40" s="89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3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59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100"/>
      <c r="CL40" s="63"/>
    </row>
    <row r="41" ht="21.0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121"/>
      <c r="L41" s="122"/>
      <c r="M41" s="63"/>
      <c r="N41" s="59"/>
      <c r="O41" s="59"/>
      <c r="P41" s="59"/>
      <c r="Q41" s="59"/>
      <c r="R41" s="65"/>
      <c r="S41" s="65"/>
      <c r="T41" s="65"/>
      <c r="U41" s="65"/>
      <c r="V41" s="65"/>
      <c r="W41" s="65"/>
      <c r="X41" s="65"/>
      <c r="Y41" s="65"/>
      <c r="Z41" s="87"/>
      <c r="AA41" s="65"/>
      <c r="AB41" s="89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3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59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100"/>
      <c r="CL41" s="63"/>
    </row>
    <row r="42" ht="21.0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121"/>
      <c r="L42" s="122"/>
      <c r="M42" s="63"/>
      <c r="N42" s="59"/>
      <c r="O42" s="59"/>
      <c r="P42" s="59"/>
      <c r="Q42" s="59"/>
      <c r="R42" s="65"/>
      <c r="S42" s="65"/>
      <c r="T42" s="65"/>
      <c r="U42" s="65"/>
      <c r="V42" s="65"/>
      <c r="W42" s="65"/>
      <c r="X42" s="65"/>
      <c r="Y42" s="65"/>
      <c r="Z42" s="87"/>
      <c r="AA42" s="65"/>
      <c r="AB42" s="89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3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59"/>
      <c r="BW42" s="65"/>
      <c r="BX42" s="65"/>
      <c r="BY42" s="88"/>
      <c r="BZ42" s="88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100"/>
      <c r="CL42" s="63"/>
    </row>
    <row r="43" ht="21.0" customHeight="1">
      <c r="A43" s="101"/>
      <c r="B43" s="123" t="s">
        <v>170</v>
      </c>
      <c r="C43" s="120">
        <f t="shared" ref="C43:J43" si="88">C12+C5</f>
        <v>0</v>
      </c>
      <c r="D43" s="120">
        <f t="shared" si="88"/>
        <v>100000</v>
      </c>
      <c r="E43" s="120">
        <f t="shared" si="88"/>
        <v>0</v>
      </c>
      <c r="F43" s="120">
        <f t="shared" si="88"/>
        <v>150000</v>
      </c>
      <c r="G43" s="120">
        <f t="shared" si="88"/>
        <v>3000</v>
      </c>
      <c r="H43" s="120">
        <f t="shared" si="88"/>
        <v>3000</v>
      </c>
      <c r="I43" s="120">
        <f t="shared" si="88"/>
        <v>4000</v>
      </c>
      <c r="J43" s="120">
        <f t="shared" si="88"/>
        <v>5000</v>
      </c>
      <c r="K43" s="108">
        <f>SUM(C43:J43)</f>
        <v>265000</v>
      </c>
      <c r="L43" s="124"/>
      <c r="M43" s="63"/>
      <c r="N43" s="120">
        <f t="shared" ref="N43:Y43" si="89">N12+N5</f>
        <v>7000</v>
      </c>
      <c r="O43" s="120">
        <f t="shared" si="89"/>
        <v>9000</v>
      </c>
      <c r="P43" s="120">
        <f t="shared" si="89"/>
        <v>13000</v>
      </c>
      <c r="Q43" s="120">
        <f t="shared" si="89"/>
        <v>15000</v>
      </c>
      <c r="R43" s="120">
        <f t="shared" si="89"/>
        <v>18000</v>
      </c>
      <c r="S43" s="120">
        <f t="shared" si="89"/>
        <v>20000</v>
      </c>
      <c r="T43" s="120">
        <f t="shared" si="89"/>
        <v>510000</v>
      </c>
      <c r="U43" s="120">
        <f t="shared" si="89"/>
        <v>5000</v>
      </c>
      <c r="V43" s="120">
        <f t="shared" si="89"/>
        <v>25285</v>
      </c>
      <c r="W43" s="120">
        <f t="shared" si="89"/>
        <v>37927.5</v>
      </c>
      <c r="X43" s="120">
        <f t="shared" si="89"/>
        <v>45513</v>
      </c>
      <c r="Y43" s="120">
        <f t="shared" si="89"/>
        <v>54615.6</v>
      </c>
      <c r="Z43" s="108">
        <f>SUM(R43:Y43)</f>
        <v>716341.1</v>
      </c>
      <c r="AA43" s="107"/>
      <c r="AB43" s="109"/>
      <c r="AC43" s="65"/>
      <c r="AD43" s="120">
        <f t="shared" ref="AD43:AO43" si="90">AD12+AD5</f>
        <v>53780</v>
      </c>
      <c r="AE43" s="120">
        <f t="shared" si="90"/>
        <v>68536</v>
      </c>
      <c r="AF43" s="120">
        <f t="shared" si="90"/>
        <v>70592.08</v>
      </c>
      <c r="AG43" s="120">
        <f t="shared" si="90"/>
        <v>67062.476</v>
      </c>
      <c r="AH43" s="120">
        <f t="shared" si="90"/>
        <v>65650.6344</v>
      </c>
      <c r="AI43" s="120">
        <f t="shared" si="90"/>
        <v>1113532.872</v>
      </c>
      <c r="AJ43" s="120">
        <f t="shared" si="90"/>
        <v>31766.436</v>
      </c>
      <c r="AK43" s="120">
        <f t="shared" si="90"/>
        <v>15883.218</v>
      </c>
      <c r="AL43" s="120">
        <f t="shared" si="90"/>
        <v>68297.8374</v>
      </c>
      <c r="AM43" s="120">
        <f t="shared" si="90"/>
        <v>68297.8374</v>
      </c>
      <c r="AN43" s="120">
        <f t="shared" si="90"/>
        <v>63532.872</v>
      </c>
      <c r="AO43" s="120">
        <f t="shared" si="90"/>
        <v>61309.22148</v>
      </c>
      <c r="AP43" s="107">
        <f>SUM(AH43:AO43)</f>
        <v>1488270.929</v>
      </c>
      <c r="AQ43" s="111"/>
      <c r="AR43" s="63"/>
      <c r="AS43" s="120">
        <f t="shared" ref="AS43:BD43" si="91">AS12+AS5</f>
        <v>31715</v>
      </c>
      <c r="AT43" s="120">
        <f t="shared" si="91"/>
        <v>63532.872</v>
      </c>
      <c r="AU43" s="120">
        <f t="shared" si="91"/>
        <v>71474.481</v>
      </c>
      <c r="AV43" s="120">
        <f t="shared" si="91"/>
        <v>107211.7215</v>
      </c>
      <c r="AW43" s="120">
        <f t="shared" si="91"/>
        <v>110785.4456</v>
      </c>
      <c r="AX43" s="120">
        <f t="shared" si="91"/>
        <v>1157211.722</v>
      </c>
      <c r="AY43" s="120">
        <f t="shared" si="91"/>
        <v>53605.86075</v>
      </c>
      <c r="AZ43" s="120">
        <f t="shared" si="91"/>
        <v>26802.93038</v>
      </c>
      <c r="BA43" s="120">
        <f t="shared" si="91"/>
        <v>107211.7215</v>
      </c>
      <c r="BB43" s="120">
        <f t="shared" si="91"/>
        <v>112572.3076</v>
      </c>
      <c r="BC43" s="120">
        <f t="shared" si="91"/>
        <v>110213.6497</v>
      </c>
      <c r="BD43" s="120">
        <f t="shared" si="91"/>
        <v>104692.246</v>
      </c>
      <c r="BE43" s="120">
        <f>SUM(AS43:BD43)</f>
        <v>2057029.957</v>
      </c>
      <c r="BF43" s="111"/>
      <c r="BG43" s="65"/>
      <c r="BH43" s="120">
        <f t="shared" ref="BH43:BS43" si="92">BH12+BH5</f>
        <v>93771.875</v>
      </c>
      <c r="BI43" s="120">
        <f t="shared" si="92"/>
        <v>93771.875</v>
      </c>
      <c r="BJ43" s="120">
        <f t="shared" si="92"/>
        <v>90958.71875</v>
      </c>
      <c r="BK43" s="120">
        <f t="shared" si="92"/>
        <v>111182.526</v>
      </c>
      <c r="BL43" s="120">
        <f t="shared" si="92"/>
        <v>114518.0018</v>
      </c>
      <c r="BM43" s="120">
        <f t="shared" si="92"/>
        <v>1153066.202</v>
      </c>
      <c r="BN43" s="120">
        <f t="shared" si="92"/>
        <v>51533.1008</v>
      </c>
      <c r="BO43" s="120">
        <f t="shared" si="92"/>
        <v>25766.5504</v>
      </c>
      <c r="BP43" s="120">
        <f t="shared" si="92"/>
        <v>154599.3024</v>
      </c>
      <c r="BQ43" s="120">
        <f t="shared" si="92"/>
        <v>176500.8702</v>
      </c>
      <c r="BR43" s="120">
        <f t="shared" si="92"/>
        <v>175212.5427</v>
      </c>
      <c r="BS43" s="120">
        <f t="shared" si="92"/>
        <v>175212.5427</v>
      </c>
      <c r="BT43" s="120">
        <f>SUM(BH43:BS43)</f>
        <v>2416094.107</v>
      </c>
      <c r="BU43" s="107"/>
      <c r="BV43" s="59"/>
      <c r="BW43" s="120">
        <f t="shared" ref="BW43:CH43" si="93">BW12+BW5</f>
        <v>169147.6563</v>
      </c>
      <c r="BX43" s="120">
        <f t="shared" si="93"/>
        <v>186062.4219</v>
      </c>
      <c r="BY43" s="120">
        <f t="shared" si="93"/>
        <v>191644.2945</v>
      </c>
      <c r="BZ43" s="120">
        <f t="shared" si="93"/>
        <v>191644.2945</v>
      </c>
      <c r="CA43" s="120">
        <f t="shared" si="93"/>
        <v>197393.6234</v>
      </c>
      <c r="CB43" s="120">
        <f t="shared" si="93"/>
        <v>1148696.812</v>
      </c>
      <c r="CC43" s="120">
        <f t="shared" si="93"/>
        <v>49348.40584</v>
      </c>
      <c r="CD43" s="120">
        <f t="shared" si="93"/>
        <v>24674.20292</v>
      </c>
      <c r="CE43" s="120">
        <f t="shared" si="93"/>
        <v>177654.261</v>
      </c>
      <c r="CF43" s="120">
        <f t="shared" si="93"/>
        <v>180121.6813</v>
      </c>
      <c r="CG43" s="120">
        <f t="shared" si="93"/>
        <v>178009.5696</v>
      </c>
      <c r="CH43" s="120">
        <f t="shared" si="93"/>
        <v>178009.5696</v>
      </c>
      <c r="CI43" s="120">
        <f>SUM(BW43:CH43)</f>
        <v>2872406.792</v>
      </c>
      <c r="CJ43" s="111"/>
      <c r="CK43" s="125">
        <f>K43+Z43+AP43+BE43+BT43+CI43</f>
        <v>9815142.886</v>
      </c>
      <c r="CL43" s="63"/>
    </row>
    <row r="44" ht="21.0" customHeight="1">
      <c r="A44" s="59"/>
      <c r="B44" s="59"/>
      <c r="C44" s="65"/>
      <c r="D44" s="65"/>
      <c r="E44" s="65"/>
      <c r="F44" s="65"/>
      <c r="G44" s="65"/>
      <c r="H44" s="65"/>
      <c r="I44" s="65"/>
      <c r="J44" s="65"/>
      <c r="K44" s="126"/>
      <c r="L44" s="89"/>
      <c r="M44" s="63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87"/>
      <c r="AA44" s="65"/>
      <c r="AB44" s="89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3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88"/>
      <c r="BU44" s="65"/>
      <c r="BV44" s="59"/>
      <c r="BW44" s="65"/>
      <c r="BX44" s="65"/>
      <c r="BY44" s="99"/>
      <c r="BZ44" s="99"/>
      <c r="CA44" s="65"/>
      <c r="CB44" s="65"/>
      <c r="CC44" s="65"/>
      <c r="CD44" s="65"/>
      <c r="CE44" s="65"/>
      <c r="CF44" s="65"/>
      <c r="CG44" s="65"/>
      <c r="CH44" s="65"/>
      <c r="CI44" s="88"/>
      <c r="CJ44" s="65"/>
      <c r="CK44" s="100"/>
      <c r="CL44" s="63"/>
    </row>
    <row r="45" ht="21.0" customHeight="1">
      <c r="A45" s="101"/>
      <c r="B45" s="127" t="s">
        <v>171</v>
      </c>
      <c r="C45" s="120">
        <f t="shared" ref="C45:J45" si="94">C18+C24+C33+C39</f>
        <v>4100</v>
      </c>
      <c r="D45" s="120">
        <f t="shared" si="94"/>
        <v>10850</v>
      </c>
      <c r="E45" s="120">
        <f t="shared" si="94"/>
        <v>10850</v>
      </c>
      <c r="F45" s="120">
        <f t="shared" si="94"/>
        <v>55600</v>
      </c>
      <c r="G45" s="120">
        <f t="shared" si="94"/>
        <v>15000</v>
      </c>
      <c r="H45" s="120">
        <f t="shared" si="94"/>
        <v>14900</v>
      </c>
      <c r="I45" s="120">
        <f t="shared" si="94"/>
        <v>15000</v>
      </c>
      <c r="J45" s="120">
        <f t="shared" si="94"/>
        <v>12150</v>
      </c>
      <c r="K45" s="108">
        <f>SUM(C45:J45)</f>
        <v>138450</v>
      </c>
      <c r="L45" s="124"/>
      <c r="M45" s="63"/>
      <c r="N45" s="120">
        <f t="shared" ref="N45:Y45" si="95">N18+N24+N33+N39</f>
        <v>12475</v>
      </c>
      <c r="O45" s="120">
        <f t="shared" si="95"/>
        <v>12950</v>
      </c>
      <c r="P45" s="120">
        <f t="shared" si="95"/>
        <v>13850</v>
      </c>
      <c r="Q45" s="120">
        <f t="shared" si="95"/>
        <v>14950</v>
      </c>
      <c r="R45" s="120">
        <f t="shared" si="95"/>
        <v>17600</v>
      </c>
      <c r="S45" s="120">
        <f t="shared" si="95"/>
        <v>17800</v>
      </c>
      <c r="T45" s="120">
        <f t="shared" si="95"/>
        <v>16750</v>
      </c>
      <c r="U45" s="120">
        <f t="shared" si="95"/>
        <v>16950</v>
      </c>
      <c r="V45" s="120">
        <f t="shared" si="95"/>
        <v>22177</v>
      </c>
      <c r="W45" s="120">
        <f t="shared" si="95"/>
        <v>25755.5</v>
      </c>
      <c r="X45" s="120">
        <f t="shared" si="95"/>
        <v>25052.6</v>
      </c>
      <c r="Y45" s="120">
        <f t="shared" si="95"/>
        <v>26333.12</v>
      </c>
      <c r="Z45" s="108">
        <f>SUM(R45:Y45)</f>
        <v>168418.22</v>
      </c>
      <c r="AA45" s="107"/>
      <c r="AB45" s="109"/>
      <c r="AC45" s="65"/>
      <c r="AD45" s="120">
        <f t="shared" ref="AD45:AO45" si="96">AD18+AD24+AD33+AD39</f>
        <v>35481</v>
      </c>
      <c r="AE45" s="120">
        <f t="shared" si="96"/>
        <v>39692.2</v>
      </c>
      <c r="AF45" s="120">
        <f t="shared" si="96"/>
        <v>40330.416</v>
      </c>
      <c r="AG45" s="120">
        <f t="shared" si="96"/>
        <v>40846.4452</v>
      </c>
      <c r="AH45" s="120">
        <f t="shared" si="96"/>
        <v>41427.73438</v>
      </c>
      <c r="AI45" s="120">
        <f t="shared" si="96"/>
        <v>39130.37815</v>
      </c>
      <c r="AJ45" s="120">
        <f t="shared" si="96"/>
        <v>31840.18908</v>
      </c>
      <c r="AK45" s="120">
        <f t="shared" si="96"/>
        <v>31312.6436</v>
      </c>
      <c r="AL45" s="120">
        <f t="shared" si="96"/>
        <v>41909.56748</v>
      </c>
      <c r="AM45" s="120">
        <f t="shared" si="96"/>
        <v>41909.56748</v>
      </c>
      <c r="AN45" s="120">
        <f t="shared" si="96"/>
        <v>39456.5744</v>
      </c>
      <c r="AO45" s="120">
        <f t="shared" si="96"/>
        <v>36811.8443</v>
      </c>
      <c r="AP45" s="107">
        <f>SUM(AH45:AO45)</f>
        <v>303798.4989</v>
      </c>
      <c r="AQ45" s="111"/>
      <c r="AR45" s="63"/>
      <c r="AS45" s="120">
        <f t="shared" ref="AS45:BD45" si="97">AS18+AS24+AS33+AS39</f>
        <v>37011</v>
      </c>
      <c r="AT45" s="120">
        <f t="shared" si="97"/>
        <v>43774.5744</v>
      </c>
      <c r="AU45" s="120">
        <f t="shared" si="97"/>
        <v>46707.8962</v>
      </c>
      <c r="AV45" s="120">
        <f t="shared" si="97"/>
        <v>56455.3443</v>
      </c>
      <c r="AW45" s="120">
        <f t="shared" si="97"/>
        <v>57770.08911</v>
      </c>
      <c r="AX45" s="120">
        <f t="shared" si="97"/>
        <v>53765.3443</v>
      </c>
      <c r="AY45" s="120">
        <f t="shared" si="97"/>
        <v>43044.17215</v>
      </c>
      <c r="AZ45" s="120">
        <f t="shared" si="97"/>
        <v>39688.58608</v>
      </c>
      <c r="BA45" s="120">
        <f t="shared" si="97"/>
        <v>62265.3443</v>
      </c>
      <c r="BB45" s="120">
        <f t="shared" si="97"/>
        <v>57842.46152</v>
      </c>
      <c r="BC45" s="120">
        <f t="shared" si="97"/>
        <v>54957.72994</v>
      </c>
      <c r="BD45" s="120">
        <f t="shared" si="97"/>
        <v>53123.44921</v>
      </c>
      <c r="BE45" s="120">
        <f>SUM(AS45:BD45)</f>
        <v>606405.9915</v>
      </c>
      <c r="BF45" s="111"/>
      <c r="BG45" s="65"/>
      <c r="BH45" s="120">
        <f t="shared" ref="BH45:BS45" si="98">BH18+BH24+BH33+BH39</f>
        <v>52749.375</v>
      </c>
      <c r="BI45" s="120">
        <f t="shared" si="98"/>
        <v>59949.375</v>
      </c>
      <c r="BJ45" s="120">
        <f t="shared" si="98"/>
        <v>55955.74375</v>
      </c>
      <c r="BK45" s="120">
        <f t="shared" si="98"/>
        <v>60831.5052</v>
      </c>
      <c r="BL45" s="120">
        <f t="shared" si="98"/>
        <v>62698.60036</v>
      </c>
      <c r="BM45" s="120">
        <f t="shared" si="98"/>
        <v>56660.74032</v>
      </c>
      <c r="BN45" s="120">
        <f t="shared" si="98"/>
        <v>44730.37016</v>
      </c>
      <c r="BO45" s="120">
        <f t="shared" si="98"/>
        <v>44448.31008</v>
      </c>
      <c r="BP45" s="120">
        <f t="shared" si="98"/>
        <v>77209.86048</v>
      </c>
      <c r="BQ45" s="120">
        <f t="shared" si="98"/>
        <v>74095.17405</v>
      </c>
      <c r="BR45" s="120">
        <f t="shared" si="98"/>
        <v>73537.50854</v>
      </c>
      <c r="BS45" s="120">
        <f t="shared" si="98"/>
        <v>72352.50854</v>
      </c>
      <c r="BT45" s="120">
        <f>SUM(BH45:BS45)</f>
        <v>735219.0715</v>
      </c>
      <c r="BU45" s="107"/>
      <c r="BV45" s="59"/>
      <c r="BW45" s="120">
        <f t="shared" ref="BW45:CH45" si="99">BW18+BW24+BW33+BW39</f>
        <v>75224.53125</v>
      </c>
      <c r="BX45" s="120">
        <f t="shared" si="99"/>
        <v>80957.48438</v>
      </c>
      <c r="BY45" s="120">
        <f t="shared" si="99"/>
        <v>81163.85891</v>
      </c>
      <c r="BZ45" s="120">
        <f t="shared" si="99"/>
        <v>81225.85891</v>
      </c>
      <c r="CA45" s="120">
        <f t="shared" si="99"/>
        <v>83068.72467</v>
      </c>
      <c r="CB45" s="120">
        <f t="shared" si="99"/>
        <v>58834.36234</v>
      </c>
      <c r="CC45" s="120">
        <f t="shared" si="99"/>
        <v>46967.18117</v>
      </c>
      <c r="CD45" s="120">
        <f t="shared" si="99"/>
        <v>49029.84058</v>
      </c>
      <c r="CE45" s="120">
        <f t="shared" si="99"/>
        <v>89620.85221</v>
      </c>
      <c r="CF45" s="120">
        <f t="shared" si="99"/>
        <v>80619.33626</v>
      </c>
      <c r="CG45" s="120">
        <f t="shared" si="99"/>
        <v>77691.91391</v>
      </c>
      <c r="CH45" s="120">
        <f t="shared" si="99"/>
        <v>77277.91391</v>
      </c>
      <c r="CI45" s="120">
        <f>SUM(BW45:CH45)</f>
        <v>881681.8585</v>
      </c>
      <c r="CJ45" s="111"/>
      <c r="CK45" s="125">
        <f>K45+Z45+AP45+BE45+BT45+CI45</f>
        <v>2833973.64</v>
      </c>
      <c r="CL45" s="63"/>
    </row>
    <row r="46" ht="21.0" customHeight="1">
      <c r="A46" s="59"/>
      <c r="B46" s="59"/>
      <c r="C46" s="65"/>
      <c r="D46" s="65"/>
      <c r="E46" s="65"/>
      <c r="F46" s="65"/>
      <c r="G46" s="65"/>
      <c r="H46" s="65"/>
      <c r="I46" s="65"/>
      <c r="J46" s="65"/>
      <c r="K46" s="126"/>
      <c r="L46" s="89"/>
      <c r="M46" s="63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87"/>
      <c r="AA46" s="65"/>
      <c r="AB46" s="89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3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88"/>
      <c r="BU46" s="65"/>
      <c r="BV46" s="59"/>
      <c r="BW46" s="65"/>
      <c r="BX46" s="65"/>
      <c r="BY46" s="99"/>
      <c r="BZ46" s="99"/>
      <c r="CA46" s="65"/>
      <c r="CB46" s="65"/>
      <c r="CC46" s="65"/>
      <c r="CD46" s="65"/>
      <c r="CE46" s="65"/>
      <c r="CF46" s="65"/>
      <c r="CG46" s="65"/>
      <c r="CH46" s="65"/>
      <c r="CI46" s="88"/>
      <c r="CJ46" s="65"/>
      <c r="CK46" s="100"/>
      <c r="CL46" s="63"/>
    </row>
    <row r="47" ht="21.0" customHeight="1">
      <c r="A47" s="128"/>
      <c r="B47" s="129" t="s">
        <v>172</v>
      </c>
      <c r="C47" s="120">
        <f t="shared" ref="C47:J47" si="100">C43-C45</f>
        <v>-4100</v>
      </c>
      <c r="D47" s="120">
        <f t="shared" si="100"/>
        <v>89150</v>
      </c>
      <c r="E47" s="120">
        <f t="shared" si="100"/>
        <v>-10850</v>
      </c>
      <c r="F47" s="120">
        <f t="shared" si="100"/>
        <v>94400</v>
      </c>
      <c r="G47" s="120">
        <f t="shared" si="100"/>
        <v>-12000</v>
      </c>
      <c r="H47" s="120">
        <f t="shared" si="100"/>
        <v>-11900</v>
      </c>
      <c r="I47" s="120">
        <f t="shared" si="100"/>
        <v>-11000</v>
      </c>
      <c r="J47" s="120">
        <f t="shared" si="100"/>
        <v>-7150</v>
      </c>
      <c r="K47" s="108">
        <f t="shared" ref="K47:K48" si="107">SUM(C47:J47)</f>
        <v>126550</v>
      </c>
      <c r="L47" s="130"/>
      <c r="M47" s="63"/>
      <c r="N47" s="120">
        <f t="shared" ref="N47:Y47" si="101">N43-N45</f>
        <v>-5475</v>
      </c>
      <c r="O47" s="120">
        <f t="shared" si="101"/>
        <v>-3950</v>
      </c>
      <c r="P47" s="120">
        <f t="shared" si="101"/>
        <v>-850</v>
      </c>
      <c r="Q47" s="120">
        <f t="shared" si="101"/>
        <v>50</v>
      </c>
      <c r="R47" s="120">
        <f t="shared" si="101"/>
        <v>400</v>
      </c>
      <c r="S47" s="120">
        <f t="shared" si="101"/>
        <v>2200</v>
      </c>
      <c r="T47" s="120">
        <f t="shared" si="101"/>
        <v>493250</v>
      </c>
      <c r="U47" s="120">
        <f t="shared" si="101"/>
        <v>-11950</v>
      </c>
      <c r="V47" s="120">
        <f t="shared" si="101"/>
        <v>3108</v>
      </c>
      <c r="W47" s="120">
        <f t="shared" si="101"/>
        <v>12172</v>
      </c>
      <c r="X47" s="120">
        <f t="shared" si="101"/>
        <v>20460.4</v>
      </c>
      <c r="Y47" s="120">
        <f t="shared" si="101"/>
        <v>28282.48</v>
      </c>
      <c r="Z47" s="108">
        <f>SUM(R47:Y47)</f>
        <v>547922.88</v>
      </c>
      <c r="AA47" s="107"/>
      <c r="AB47" s="109"/>
      <c r="AC47" s="65"/>
      <c r="AD47" s="120">
        <f t="shared" ref="AD47:AO47" si="102">AD43-AD45</f>
        <v>18299</v>
      </c>
      <c r="AE47" s="120">
        <f t="shared" si="102"/>
        <v>28843.8</v>
      </c>
      <c r="AF47" s="120">
        <f t="shared" si="102"/>
        <v>30261.664</v>
      </c>
      <c r="AG47" s="120">
        <f t="shared" si="102"/>
        <v>26216.0308</v>
      </c>
      <c r="AH47" s="120">
        <f t="shared" si="102"/>
        <v>24222.90002</v>
      </c>
      <c r="AI47" s="120">
        <f t="shared" si="102"/>
        <v>1074402.494</v>
      </c>
      <c r="AJ47" s="120">
        <f t="shared" si="102"/>
        <v>-73.753075</v>
      </c>
      <c r="AK47" s="120">
        <f t="shared" si="102"/>
        <v>-15429.4256</v>
      </c>
      <c r="AL47" s="120">
        <f t="shared" si="102"/>
        <v>26388.26992</v>
      </c>
      <c r="AM47" s="120">
        <f t="shared" si="102"/>
        <v>26388.26992</v>
      </c>
      <c r="AN47" s="120">
        <f t="shared" si="102"/>
        <v>24076.2976</v>
      </c>
      <c r="AO47" s="120">
        <f t="shared" si="102"/>
        <v>24497.37718</v>
      </c>
      <c r="AP47" s="107">
        <f>SUM(AH47:AO47)</f>
        <v>1184472.43</v>
      </c>
      <c r="AQ47" s="111"/>
      <c r="AR47" s="63"/>
      <c r="AS47" s="120">
        <f t="shared" ref="AS47:BD47" si="103">AS43-AS45</f>
        <v>-5296</v>
      </c>
      <c r="AT47" s="120">
        <f t="shared" si="103"/>
        <v>19758.2976</v>
      </c>
      <c r="AU47" s="120">
        <f t="shared" si="103"/>
        <v>24766.5848</v>
      </c>
      <c r="AV47" s="120">
        <f t="shared" si="103"/>
        <v>50756.3772</v>
      </c>
      <c r="AW47" s="120">
        <f t="shared" si="103"/>
        <v>53015.35644</v>
      </c>
      <c r="AX47" s="120">
        <f t="shared" si="103"/>
        <v>1103446.377</v>
      </c>
      <c r="AY47" s="120">
        <f t="shared" si="103"/>
        <v>10561.6886</v>
      </c>
      <c r="AZ47" s="120">
        <f t="shared" si="103"/>
        <v>-12885.6557</v>
      </c>
      <c r="BA47" s="120">
        <f t="shared" si="103"/>
        <v>44946.3772</v>
      </c>
      <c r="BB47" s="120">
        <f t="shared" si="103"/>
        <v>54729.84606</v>
      </c>
      <c r="BC47" s="120">
        <f t="shared" si="103"/>
        <v>55255.91976</v>
      </c>
      <c r="BD47" s="120">
        <f t="shared" si="103"/>
        <v>51568.79684</v>
      </c>
      <c r="BE47" s="120">
        <f>SUM(AS47:BD47)</f>
        <v>1450623.966</v>
      </c>
      <c r="BF47" s="111"/>
      <c r="BG47" s="65"/>
      <c r="BH47" s="120">
        <f t="shared" ref="BH47:BS47" si="104">BH43-BH45</f>
        <v>41022.5</v>
      </c>
      <c r="BI47" s="120">
        <f t="shared" si="104"/>
        <v>33822.5</v>
      </c>
      <c r="BJ47" s="120">
        <f t="shared" si="104"/>
        <v>35002.975</v>
      </c>
      <c r="BK47" s="120">
        <f t="shared" si="104"/>
        <v>50351.0208</v>
      </c>
      <c r="BL47" s="120">
        <f t="shared" si="104"/>
        <v>51819.40142</v>
      </c>
      <c r="BM47" s="120">
        <f t="shared" si="104"/>
        <v>1096405.461</v>
      </c>
      <c r="BN47" s="120">
        <f t="shared" si="104"/>
        <v>6802.730641</v>
      </c>
      <c r="BO47" s="120">
        <f t="shared" si="104"/>
        <v>-18681.75968</v>
      </c>
      <c r="BP47" s="120">
        <f t="shared" si="104"/>
        <v>77389.44192</v>
      </c>
      <c r="BQ47" s="120">
        <f t="shared" si="104"/>
        <v>102405.6962</v>
      </c>
      <c r="BR47" s="120">
        <f t="shared" si="104"/>
        <v>101675.0342</v>
      </c>
      <c r="BS47" s="120">
        <f t="shared" si="104"/>
        <v>102860.0342</v>
      </c>
      <c r="BT47" s="120">
        <f t="shared" ref="BT47:BT48" si="116">SUM(BH47:BS47)</f>
        <v>1680875.036</v>
      </c>
      <c r="BU47" s="107"/>
      <c r="BV47" s="59"/>
      <c r="BW47" s="120">
        <f t="shared" ref="BW47:CH47" si="105">BW43-BW45</f>
        <v>93923.125</v>
      </c>
      <c r="BX47" s="120">
        <f t="shared" si="105"/>
        <v>105104.9375</v>
      </c>
      <c r="BY47" s="120">
        <f t="shared" si="105"/>
        <v>110480.4356</v>
      </c>
      <c r="BZ47" s="120">
        <f t="shared" si="105"/>
        <v>110418.4356</v>
      </c>
      <c r="CA47" s="120">
        <f t="shared" si="105"/>
        <v>114324.8987</v>
      </c>
      <c r="CB47" s="120">
        <f t="shared" si="105"/>
        <v>1089862.449</v>
      </c>
      <c r="CC47" s="120">
        <f t="shared" si="105"/>
        <v>2381.224673</v>
      </c>
      <c r="CD47" s="120">
        <f t="shared" si="105"/>
        <v>-24355.63766</v>
      </c>
      <c r="CE47" s="120">
        <f t="shared" si="105"/>
        <v>88033.40882</v>
      </c>
      <c r="CF47" s="120">
        <f t="shared" si="105"/>
        <v>99502.34506</v>
      </c>
      <c r="CG47" s="120">
        <f t="shared" si="105"/>
        <v>100317.6556</v>
      </c>
      <c r="CH47" s="120">
        <f t="shared" si="105"/>
        <v>100731.6556</v>
      </c>
      <c r="CI47" s="120">
        <f t="shared" ref="CI47:CI48" si="119">SUM(BW47:CH47)</f>
        <v>1990724.934</v>
      </c>
      <c r="CJ47" s="111"/>
      <c r="CK47" s="131">
        <f t="shared" ref="CK47:CK48" si="120">K47+Z47+AP47+BE47+BT47+CI47</f>
        <v>6981169.246</v>
      </c>
      <c r="CL47" s="63"/>
    </row>
    <row r="48" ht="21.0" customHeight="1">
      <c r="A48" s="128"/>
      <c r="B48" s="129" t="s">
        <v>173</v>
      </c>
      <c r="C48" s="120">
        <f>+C47</f>
        <v>-4100</v>
      </c>
      <c r="D48" s="120">
        <f t="shared" ref="D48:J48" si="106">+D47+C48</f>
        <v>85050</v>
      </c>
      <c r="E48" s="120">
        <f t="shared" si="106"/>
        <v>74200</v>
      </c>
      <c r="F48" s="120">
        <f t="shared" si="106"/>
        <v>168600</v>
      </c>
      <c r="G48" s="120">
        <f t="shared" si="106"/>
        <v>156600</v>
      </c>
      <c r="H48" s="120">
        <f t="shared" si="106"/>
        <v>144700</v>
      </c>
      <c r="I48" s="120">
        <f t="shared" si="106"/>
        <v>133700</v>
      </c>
      <c r="J48" s="120">
        <f t="shared" si="106"/>
        <v>126550</v>
      </c>
      <c r="K48" s="108">
        <f t="shared" si="107"/>
        <v>885300</v>
      </c>
      <c r="L48" s="130"/>
      <c r="M48" s="63"/>
      <c r="N48" s="120">
        <f>+N47+J48</f>
        <v>121075</v>
      </c>
      <c r="O48" s="120">
        <f t="shared" ref="O48:Q48" si="108">+O47+N48</f>
        <v>117125</v>
      </c>
      <c r="P48" s="120">
        <f t="shared" si="108"/>
        <v>116275</v>
      </c>
      <c r="Q48" s="120">
        <f t="shared" si="108"/>
        <v>116325</v>
      </c>
      <c r="R48" s="120">
        <f>+R47</f>
        <v>400</v>
      </c>
      <c r="S48" s="120">
        <f t="shared" ref="S48:Y48" si="109">+S47+R48</f>
        <v>2600</v>
      </c>
      <c r="T48" s="120">
        <f t="shared" si="109"/>
        <v>495850</v>
      </c>
      <c r="U48" s="120">
        <f t="shared" si="109"/>
        <v>483900</v>
      </c>
      <c r="V48" s="120">
        <f t="shared" si="109"/>
        <v>487008</v>
      </c>
      <c r="W48" s="120">
        <f t="shared" si="109"/>
        <v>499180</v>
      </c>
      <c r="X48" s="120">
        <f t="shared" si="109"/>
        <v>519640.4</v>
      </c>
      <c r="Y48" s="120">
        <f t="shared" si="109"/>
        <v>547922.88</v>
      </c>
      <c r="Z48" s="108"/>
      <c r="AA48" s="107"/>
      <c r="AB48" s="109"/>
      <c r="AC48" s="65"/>
      <c r="AD48" s="120">
        <f>+AD47+Y48</f>
        <v>566221.88</v>
      </c>
      <c r="AE48" s="120">
        <f t="shared" ref="AE48:AG48" si="110">+AE47+AD48</f>
        <v>595065.68</v>
      </c>
      <c r="AF48" s="120">
        <f t="shared" si="110"/>
        <v>625327.344</v>
      </c>
      <c r="AG48" s="120">
        <f t="shared" si="110"/>
        <v>651543.3748</v>
      </c>
      <c r="AH48" s="120">
        <f>+AH47</f>
        <v>24222.90002</v>
      </c>
      <c r="AI48" s="120">
        <f t="shared" ref="AI48:AO48" si="111">+AI47+AH48</f>
        <v>1098625.394</v>
      </c>
      <c r="AJ48" s="120">
        <f t="shared" si="111"/>
        <v>1098551.641</v>
      </c>
      <c r="AK48" s="120">
        <f t="shared" si="111"/>
        <v>1083122.215</v>
      </c>
      <c r="AL48" s="120">
        <f t="shared" si="111"/>
        <v>1109510.485</v>
      </c>
      <c r="AM48" s="120">
        <f t="shared" si="111"/>
        <v>1135898.755</v>
      </c>
      <c r="AN48" s="120">
        <f t="shared" si="111"/>
        <v>1159975.053</v>
      </c>
      <c r="AO48" s="120">
        <f t="shared" si="111"/>
        <v>1184472.43</v>
      </c>
      <c r="AP48" s="107"/>
      <c r="AQ48" s="111"/>
      <c r="AR48" s="63"/>
      <c r="AS48" s="120">
        <f>+AS47+AO48</f>
        <v>1179176.43</v>
      </c>
      <c r="AT48" s="120">
        <f t="shared" ref="AT48:AV48" si="112">+AT47+AS48</f>
        <v>1198934.727</v>
      </c>
      <c r="AU48" s="120">
        <f t="shared" si="112"/>
        <v>1223701.312</v>
      </c>
      <c r="AV48" s="120">
        <f t="shared" si="112"/>
        <v>1274457.689</v>
      </c>
      <c r="AW48" s="120">
        <f>+AW47</f>
        <v>53015.35644</v>
      </c>
      <c r="AX48" s="120">
        <f t="shared" ref="AX48:BD48" si="113">+AX47+AW48</f>
        <v>1156461.734</v>
      </c>
      <c r="AY48" s="120">
        <f t="shared" si="113"/>
        <v>1167023.422</v>
      </c>
      <c r="AZ48" s="120">
        <f t="shared" si="113"/>
        <v>1154137.767</v>
      </c>
      <c r="BA48" s="120">
        <f t="shared" si="113"/>
        <v>1199084.144</v>
      </c>
      <c r="BB48" s="120">
        <f t="shared" si="113"/>
        <v>1253813.99</v>
      </c>
      <c r="BC48" s="120">
        <f t="shared" si="113"/>
        <v>1309069.91</v>
      </c>
      <c r="BD48" s="120">
        <f t="shared" si="113"/>
        <v>1360638.706</v>
      </c>
      <c r="BE48" s="107"/>
      <c r="BF48" s="111"/>
      <c r="BG48" s="65"/>
      <c r="BH48" s="120">
        <f>+BH47+BD48</f>
        <v>1401661.206</v>
      </c>
      <c r="BI48" s="120">
        <f t="shared" ref="BI48:BK48" si="114">+BI47+BH48</f>
        <v>1435483.706</v>
      </c>
      <c r="BJ48" s="120">
        <f t="shared" si="114"/>
        <v>1470486.681</v>
      </c>
      <c r="BK48" s="120">
        <f t="shared" si="114"/>
        <v>1520837.702</v>
      </c>
      <c r="BL48" s="120">
        <f>+BL47</f>
        <v>51819.40142</v>
      </c>
      <c r="BM48" s="120">
        <f t="shared" ref="BM48:BS48" si="115">+BM47+BL48</f>
        <v>1148224.863</v>
      </c>
      <c r="BN48" s="120">
        <f t="shared" si="115"/>
        <v>1155027.593</v>
      </c>
      <c r="BO48" s="120">
        <f t="shared" si="115"/>
        <v>1136345.834</v>
      </c>
      <c r="BP48" s="120">
        <f t="shared" si="115"/>
        <v>1213735.276</v>
      </c>
      <c r="BQ48" s="120">
        <f t="shared" si="115"/>
        <v>1316140.972</v>
      </c>
      <c r="BR48" s="120">
        <f t="shared" si="115"/>
        <v>1417816.006</v>
      </c>
      <c r="BS48" s="120">
        <f t="shared" si="115"/>
        <v>1520676.04</v>
      </c>
      <c r="BT48" s="120">
        <f t="shared" si="116"/>
        <v>14788255.28</v>
      </c>
      <c r="BU48" s="107"/>
      <c r="BV48" s="59"/>
      <c r="BW48" s="120">
        <f>+BW47+BS48</f>
        <v>1614599.165</v>
      </c>
      <c r="BX48" s="120">
        <f t="shared" ref="BX48:BZ48" si="117">+BX47+BW48</f>
        <v>1719704.103</v>
      </c>
      <c r="BY48" s="120">
        <f t="shared" si="117"/>
        <v>1830184.538</v>
      </c>
      <c r="BZ48" s="120">
        <f t="shared" si="117"/>
        <v>1940602.974</v>
      </c>
      <c r="CA48" s="120">
        <f>+CA47</f>
        <v>114324.8987</v>
      </c>
      <c r="CB48" s="120">
        <f t="shared" ref="CB48:CH48" si="118">+CB47+CA48</f>
        <v>1204187.348</v>
      </c>
      <c r="CC48" s="120">
        <f t="shared" si="118"/>
        <v>1206568.573</v>
      </c>
      <c r="CD48" s="120">
        <f t="shared" si="118"/>
        <v>1182212.935</v>
      </c>
      <c r="CE48" s="120">
        <f t="shared" si="118"/>
        <v>1270246.344</v>
      </c>
      <c r="CF48" s="120">
        <f t="shared" si="118"/>
        <v>1369748.689</v>
      </c>
      <c r="CG48" s="120">
        <f t="shared" si="118"/>
        <v>1470066.345</v>
      </c>
      <c r="CH48" s="120">
        <f t="shared" si="118"/>
        <v>1570798</v>
      </c>
      <c r="CI48" s="120">
        <f t="shared" si="119"/>
        <v>16493243.91</v>
      </c>
      <c r="CJ48" s="111"/>
      <c r="CK48" s="131">
        <f t="shared" si="120"/>
        <v>32166799.19</v>
      </c>
      <c r="CL48" s="63"/>
    </row>
    <row r="49" ht="21.0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63"/>
      <c r="N49" s="59"/>
      <c r="O49" s="59"/>
      <c r="P49" s="59"/>
      <c r="Q49" s="59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3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59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3"/>
    </row>
    <row r="50" ht="21.0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65"/>
      <c r="N50" s="59"/>
      <c r="O50" s="59"/>
      <c r="P50" s="59"/>
      <c r="Q50" s="59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3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59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3"/>
    </row>
    <row r="51" ht="21.0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65"/>
      <c r="N51" s="59"/>
      <c r="O51" s="59"/>
      <c r="P51" s="59"/>
      <c r="Q51" s="59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3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59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3"/>
    </row>
    <row r="52" ht="21.0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65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59"/>
      <c r="BH52" s="132"/>
      <c r="BI52" s="132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59"/>
      <c r="BU52" s="59"/>
      <c r="BV52" s="59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59"/>
      <c r="CJ52" s="59"/>
      <c r="CK52" s="59"/>
      <c r="CL52" s="63"/>
    </row>
    <row r="53" ht="21.0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65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59"/>
      <c r="BH53" s="132"/>
      <c r="BI53" s="132"/>
      <c r="BJ53" s="132"/>
      <c r="BK53" s="132"/>
      <c r="BL53" s="132"/>
      <c r="BM53" s="132"/>
      <c r="BN53" s="132"/>
      <c r="BO53" s="132"/>
      <c r="BP53" s="132"/>
      <c r="BQ53" s="132"/>
      <c r="BR53" s="132"/>
      <c r="BS53" s="132"/>
      <c r="BT53" s="59"/>
      <c r="BU53" s="59"/>
      <c r="BV53" s="59"/>
      <c r="BW53" s="132"/>
      <c r="BX53" s="132"/>
      <c r="BY53" s="132"/>
      <c r="BZ53" s="132"/>
      <c r="CA53" s="132"/>
      <c r="CB53" s="132"/>
      <c r="CC53" s="132"/>
      <c r="CD53" s="132"/>
      <c r="CE53" s="132"/>
      <c r="CF53" s="132"/>
      <c r="CG53" s="132"/>
      <c r="CH53" s="132"/>
      <c r="CI53" s="59"/>
      <c r="CJ53" s="59"/>
      <c r="CK53" s="59"/>
      <c r="CL53" s="63"/>
    </row>
    <row r="54" ht="21.0" customHeight="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65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59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59"/>
      <c r="BU54" s="59"/>
      <c r="BV54" s="59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59"/>
      <c r="CJ54" s="59"/>
      <c r="CK54" s="59"/>
      <c r="CL54" s="63"/>
    </row>
    <row r="55" ht="21.0" customHeigh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65"/>
      <c r="N55" s="59"/>
      <c r="O55" s="59"/>
      <c r="P55" s="59"/>
      <c r="Q55" s="59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59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59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59"/>
      <c r="BU55" s="59"/>
      <c r="BV55" s="59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59"/>
      <c r="CJ55" s="59"/>
      <c r="CK55" s="59"/>
      <c r="CL55" s="63"/>
    </row>
    <row r="56" ht="21.0" customHeigh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65"/>
      <c r="N56" s="59"/>
      <c r="O56" s="59"/>
      <c r="P56" s="59"/>
      <c r="Q56" s="59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59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59"/>
      <c r="BH56" s="132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59"/>
      <c r="BU56" s="59"/>
      <c r="BV56" s="59"/>
      <c r="BW56" s="132"/>
      <c r="BX56" s="132"/>
      <c r="BY56" s="132"/>
      <c r="BZ56" s="132"/>
      <c r="CA56" s="132"/>
      <c r="CB56" s="132"/>
      <c r="CC56" s="132"/>
      <c r="CD56" s="132"/>
      <c r="CE56" s="132"/>
      <c r="CF56" s="132"/>
      <c r="CG56" s="132"/>
      <c r="CH56" s="132"/>
      <c r="CI56" s="59"/>
      <c r="CJ56" s="59"/>
      <c r="CK56" s="59"/>
      <c r="CL56" s="63"/>
    </row>
    <row r="57" ht="21.0" customHeigh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65"/>
      <c r="N57" s="59"/>
      <c r="O57" s="59"/>
      <c r="P57" s="59"/>
      <c r="Q57" s="59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59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59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59"/>
      <c r="BU57" s="59"/>
      <c r="BV57" s="59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  <c r="CI57" s="59"/>
      <c r="CJ57" s="59"/>
      <c r="CK57" s="59"/>
      <c r="CL57" s="63"/>
    </row>
    <row r="58" ht="21.0" customHeigh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65"/>
      <c r="N58" s="59"/>
      <c r="O58" s="59"/>
      <c r="P58" s="59"/>
      <c r="Q58" s="59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59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59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59"/>
      <c r="BU58" s="59"/>
      <c r="BV58" s="59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132"/>
      <c r="CI58" s="59"/>
      <c r="CJ58" s="59"/>
      <c r="CK58" s="59"/>
      <c r="CL58" s="63"/>
    </row>
    <row r="59" ht="21.0" customHeigh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65"/>
      <c r="N59" s="59"/>
      <c r="O59" s="59"/>
      <c r="P59" s="59"/>
      <c r="Q59" s="59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59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59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59"/>
      <c r="BU59" s="59"/>
      <c r="BV59" s="59"/>
      <c r="BW59" s="132"/>
      <c r="BX59" s="132"/>
      <c r="BY59" s="132"/>
      <c r="BZ59" s="132"/>
      <c r="CA59" s="132"/>
      <c r="CB59" s="132"/>
      <c r="CC59" s="132"/>
      <c r="CD59" s="132"/>
      <c r="CE59" s="132"/>
      <c r="CF59" s="132"/>
      <c r="CG59" s="132"/>
      <c r="CH59" s="132"/>
      <c r="CI59" s="59"/>
      <c r="CJ59" s="59"/>
      <c r="CK59" s="59"/>
      <c r="CL59" s="63"/>
    </row>
    <row r="60" ht="21.0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65"/>
      <c r="N60" s="59"/>
      <c r="O60" s="59"/>
      <c r="P60" s="59"/>
      <c r="Q60" s="59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59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59"/>
      <c r="BH60" s="132"/>
      <c r="BI60" s="132"/>
      <c r="BJ60" s="132"/>
      <c r="BK60" s="132"/>
      <c r="BL60" s="132"/>
      <c r="BM60" s="132"/>
      <c r="BN60" s="132"/>
      <c r="BO60" s="132"/>
      <c r="BP60" s="132"/>
      <c r="BQ60" s="132"/>
      <c r="BR60" s="132"/>
      <c r="BS60" s="132"/>
      <c r="BT60" s="59"/>
      <c r="BU60" s="59"/>
      <c r="BV60" s="59"/>
      <c r="BW60" s="132"/>
      <c r="BX60" s="132"/>
      <c r="BY60" s="132"/>
      <c r="BZ60" s="132"/>
      <c r="CA60" s="132"/>
      <c r="CB60" s="132"/>
      <c r="CC60" s="132"/>
      <c r="CD60" s="132"/>
      <c r="CE60" s="132"/>
      <c r="CF60" s="132"/>
      <c r="CG60" s="132"/>
      <c r="CH60" s="132"/>
      <c r="CI60" s="59"/>
      <c r="CJ60" s="59"/>
      <c r="CK60" s="59"/>
      <c r="CL60" s="63"/>
    </row>
    <row r="61" ht="21.0" customHeigh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65"/>
      <c r="N61" s="59"/>
      <c r="O61" s="59"/>
      <c r="P61" s="59"/>
      <c r="Q61" s="59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59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59"/>
      <c r="BH61" s="132"/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59"/>
      <c r="BU61" s="59"/>
      <c r="BV61" s="59"/>
      <c r="BW61" s="132"/>
      <c r="BX61" s="132"/>
      <c r="BY61" s="132"/>
      <c r="BZ61" s="132"/>
      <c r="CA61" s="132"/>
      <c r="CB61" s="132"/>
      <c r="CC61" s="132"/>
      <c r="CD61" s="132"/>
      <c r="CE61" s="132"/>
      <c r="CF61" s="132"/>
      <c r="CG61" s="132"/>
      <c r="CH61" s="132"/>
      <c r="CI61" s="59"/>
      <c r="CJ61" s="59"/>
      <c r="CK61" s="59"/>
      <c r="CL61" s="63"/>
    </row>
    <row r="62" ht="21.0" customHeigh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65"/>
      <c r="N62" s="59"/>
      <c r="O62" s="59"/>
      <c r="P62" s="59"/>
      <c r="Q62" s="59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59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59"/>
      <c r="BH62" s="132"/>
      <c r="BI62" s="132"/>
      <c r="BJ62" s="132"/>
      <c r="BK62" s="132"/>
      <c r="BL62" s="132"/>
      <c r="BM62" s="132"/>
      <c r="BN62" s="132"/>
      <c r="BO62" s="132"/>
      <c r="BP62" s="132"/>
      <c r="BQ62" s="132"/>
      <c r="BR62" s="132"/>
      <c r="BS62" s="132"/>
      <c r="BT62" s="59"/>
      <c r="BU62" s="59"/>
      <c r="BV62" s="59"/>
      <c r="BW62" s="132"/>
      <c r="BX62" s="132"/>
      <c r="BY62" s="132"/>
      <c r="BZ62" s="132"/>
      <c r="CA62" s="132"/>
      <c r="CB62" s="132"/>
      <c r="CC62" s="132"/>
      <c r="CD62" s="132"/>
      <c r="CE62" s="132"/>
      <c r="CF62" s="132"/>
      <c r="CG62" s="132"/>
      <c r="CH62" s="132"/>
      <c r="CI62" s="59"/>
      <c r="CJ62" s="59"/>
      <c r="CK62" s="59"/>
      <c r="CL62" s="63"/>
    </row>
    <row r="63" ht="21.0" customHeigh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65"/>
      <c r="N63" s="59"/>
      <c r="O63" s="59"/>
      <c r="P63" s="59"/>
      <c r="Q63" s="59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59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59"/>
      <c r="BH63" s="132"/>
      <c r="BI63" s="132"/>
      <c r="BJ63" s="132"/>
      <c r="BK63" s="132"/>
      <c r="BL63" s="132"/>
      <c r="BM63" s="132"/>
      <c r="BN63" s="132"/>
      <c r="BO63" s="132"/>
      <c r="BP63" s="132"/>
      <c r="BQ63" s="132"/>
      <c r="BR63" s="132"/>
      <c r="BS63" s="132"/>
      <c r="BT63" s="59"/>
      <c r="BU63" s="59"/>
      <c r="BV63" s="59"/>
      <c r="BW63" s="132"/>
      <c r="BX63" s="132"/>
      <c r="BY63" s="132"/>
      <c r="BZ63" s="132"/>
      <c r="CA63" s="132"/>
      <c r="CB63" s="132"/>
      <c r="CC63" s="132"/>
      <c r="CD63" s="132"/>
      <c r="CE63" s="132"/>
      <c r="CF63" s="132"/>
      <c r="CG63" s="132"/>
      <c r="CH63" s="132"/>
      <c r="CI63" s="59"/>
      <c r="CJ63" s="59"/>
      <c r="CK63" s="59"/>
      <c r="CL63" s="63"/>
    </row>
    <row r="64" ht="21.0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65"/>
      <c r="N64" s="59"/>
      <c r="O64" s="59"/>
      <c r="P64" s="59"/>
      <c r="Q64" s="59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59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59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59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  <c r="CI64" s="132"/>
      <c r="CJ64" s="132"/>
      <c r="CK64" s="132"/>
      <c r="CL64" s="63"/>
    </row>
    <row r="65" ht="21.0" customHeigh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65"/>
      <c r="N65" s="59"/>
      <c r="O65" s="59"/>
      <c r="P65" s="59"/>
      <c r="Q65" s="59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59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59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59"/>
      <c r="BW65" s="132"/>
      <c r="BX65" s="132"/>
      <c r="BY65" s="132"/>
      <c r="BZ65" s="132"/>
      <c r="CA65" s="132"/>
      <c r="CB65" s="132"/>
      <c r="CC65" s="132"/>
      <c r="CD65" s="132"/>
      <c r="CE65" s="132"/>
      <c r="CF65" s="132"/>
      <c r="CG65" s="132"/>
      <c r="CH65" s="132"/>
      <c r="CI65" s="132"/>
      <c r="CJ65" s="132"/>
      <c r="CK65" s="132"/>
      <c r="CL65" s="63"/>
    </row>
    <row r="66" ht="21.0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65"/>
      <c r="N66" s="59"/>
      <c r="O66" s="59"/>
      <c r="P66" s="59"/>
      <c r="Q66" s="59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59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59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59"/>
      <c r="BW66" s="132"/>
      <c r="BX66" s="132"/>
      <c r="BY66" s="132"/>
      <c r="BZ66" s="132"/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63"/>
    </row>
    <row r="67" ht="21.0" customHeigh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65"/>
      <c r="N67" s="59"/>
      <c r="O67" s="59"/>
      <c r="P67" s="59"/>
      <c r="Q67" s="59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59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59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59"/>
      <c r="BW67" s="132"/>
      <c r="BX67" s="132"/>
      <c r="BY67" s="132"/>
      <c r="BZ67" s="132"/>
      <c r="CA67" s="132"/>
      <c r="CB67" s="132"/>
      <c r="CC67" s="132"/>
      <c r="CD67" s="132"/>
      <c r="CE67" s="132"/>
      <c r="CF67" s="132"/>
      <c r="CG67" s="132"/>
      <c r="CH67" s="132"/>
      <c r="CI67" s="132"/>
      <c r="CJ67" s="132"/>
      <c r="CK67" s="132"/>
      <c r="CL67" s="63"/>
    </row>
    <row r="68" ht="21.0" customHeigh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65"/>
      <c r="N68" s="59"/>
      <c r="O68" s="59"/>
      <c r="P68" s="59"/>
      <c r="Q68" s="59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59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59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59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63"/>
    </row>
    <row r="69" ht="21.0" customHeigh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65"/>
      <c r="N69" s="59"/>
      <c r="O69" s="59"/>
      <c r="P69" s="59"/>
      <c r="Q69" s="59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59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59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2"/>
      <c r="BV69" s="59"/>
      <c r="BW69" s="132"/>
      <c r="BX69" s="132"/>
      <c r="BY69" s="132"/>
      <c r="BZ69" s="132"/>
      <c r="CA69" s="132"/>
      <c r="CB69" s="132"/>
      <c r="CC69" s="132"/>
      <c r="CD69" s="132"/>
      <c r="CE69" s="132"/>
      <c r="CF69" s="132"/>
      <c r="CG69" s="132"/>
      <c r="CH69" s="132"/>
      <c r="CI69" s="132"/>
      <c r="CJ69" s="132"/>
      <c r="CK69" s="132"/>
      <c r="CL69" s="63"/>
    </row>
    <row r="70" ht="21.0" customHeigh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5"/>
      <c r="N70" s="59"/>
      <c r="O70" s="59"/>
      <c r="P70" s="59"/>
      <c r="Q70" s="59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59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59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59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</row>
    <row r="71" ht="21.0" customHeigh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65"/>
      <c r="N71" s="59"/>
      <c r="O71" s="59"/>
      <c r="P71" s="59"/>
      <c r="Q71" s="59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59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59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2"/>
      <c r="BV71" s="59"/>
      <c r="BW71" s="132"/>
      <c r="BX71" s="132"/>
      <c r="BY71" s="132"/>
      <c r="BZ71" s="132"/>
      <c r="CA71" s="132"/>
      <c r="CB71" s="132"/>
      <c r="CC71" s="132"/>
      <c r="CD71" s="132"/>
      <c r="CE71" s="132"/>
      <c r="CF71" s="132"/>
      <c r="CG71" s="132"/>
      <c r="CH71" s="132"/>
      <c r="CI71" s="132"/>
      <c r="CJ71" s="132"/>
      <c r="CK71" s="132"/>
      <c r="CL71" s="132"/>
    </row>
    <row r="72" ht="21.0" customHeigh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65"/>
      <c r="N72" s="59"/>
      <c r="O72" s="59"/>
      <c r="P72" s="59"/>
      <c r="Q72" s="59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59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59"/>
      <c r="BH72" s="132"/>
      <c r="BI72" s="132"/>
      <c r="BJ72" s="132"/>
      <c r="BK72" s="132"/>
      <c r="BL72" s="132"/>
      <c r="BM72" s="132"/>
      <c r="BN72" s="132"/>
      <c r="BO72" s="132"/>
      <c r="BP72" s="132"/>
      <c r="BQ72" s="132"/>
      <c r="BR72" s="132"/>
      <c r="BS72" s="132"/>
      <c r="BT72" s="132"/>
      <c r="BU72" s="132"/>
      <c r="BV72" s="59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</row>
    <row r="73" ht="21.0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59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59"/>
      <c r="BH73" s="132"/>
      <c r="BI73" s="132"/>
      <c r="BJ73" s="132"/>
      <c r="BK73" s="132"/>
      <c r="BL73" s="132"/>
      <c r="BM73" s="132"/>
      <c r="BN73" s="132"/>
      <c r="BO73" s="132"/>
      <c r="BP73" s="132"/>
      <c r="BQ73" s="132"/>
      <c r="BR73" s="132"/>
      <c r="BS73" s="132"/>
      <c r="BT73" s="132"/>
      <c r="BU73" s="132"/>
      <c r="BV73" s="59"/>
      <c r="BW73" s="132"/>
      <c r="BX73" s="132"/>
      <c r="BY73" s="132"/>
      <c r="BZ73" s="132"/>
      <c r="CA73" s="132"/>
      <c r="CB73" s="132"/>
      <c r="CC73" s="132"/>
      <c r="CD73" s="132"/>
      <c r="CE73" s="132"/>
      <c r="CF73" s="132"/>
      <c r="CG73" s="132"/>
      <c r="CH73" s="132"/>
      <c r="CI73" s="132"/>
      <c r="CJ73" s="132"/>
      <c r="CK73" s="132"/>
      <c r="CL73" s="132"/>
    </row>
    <row r="74" ht="21.0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59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59"/>
      <c r="BH74" s="132"/>
      <c r="BI74" s="132"/>
      <c r="BJ74" s="132"/>
      <c r="BK74" s="132"/>
      <c r="BL74" s="132"/>
      <c r="BM74" s="132"/>
      <c r="BN74" s="132"/>
      <c r="BO74" s="132"/>
      <c r="BP74" s="132"/>
      <c r="BQ74" s="132"/>
      <c r="BR74" s="132"/>
      <c r="BS74" s="132"/>
      <c r="BT74" s="132"/>
      <c r="BU74" s="132"/>
      <c r="BV74" s="59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2"/>
      <c r="CJ74" s="132"/>
      <c r="CK74" s="132"/>
      <c r="CL74" s="132"/>
    </row>
    <row r="75" ht="21.0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59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59"/>
      <c r="BH75" s="132"/>
      <c r="BI75" s="132"/>
      <c r="BJ75" s="132"/>
      <c r="BK75" s="132"/>
      <c r="BL75" s="132"/>
      <c r="BM75" s="132"/>
      <c r="BN75" s="132"/>
      <c r="BO75" s="132"/>
      <c r="BP75" s="132"/>
      <c r="BQ75" s="132"/>
      <c r="BR75" s="132"/>
      <c r="BS75" s="132"/>
      <c r="BT75" s="132"/>
      <c r="BU75" s="132"/>
      <c r="BV75" s="59"/>
      <c r="BW75" s="132"/>
      <c r="BX75" s="132"/>
      <c r="BY75" s="132"/>
      <c r="BZ75" s="132"/>
      <c r="CA75" s="132"/>
      <c r="CB75" s="132"/>
      <c r="CC75" s="132"/>
      <c r="CD75" s="132"/>
      <c r="CE75" s="132"/>
      <c r="CF75" s="132"/>
      <c r="CG75" s="132"/>
      <c r="CH75" s="132"/>
      <c r="CI75" s="132"/>
      <c r="CJ75" s="132"/>
      <c r="CK75" s="132"/>
      <c r="CL75" s="132"/>
    </row>
    <row r="76" ht="21.0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59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59"/>
      <c r="BH76" s="132"/>
      <c r="BI76" s="132"/>
      <c r="BJ76" s="132"/>
      <c r="BK76" s="132"/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59"/>
      <c r="BW76" s="132"/>
      <c r="BX76" s="132"/>
      <c r="BY76" s="132"/>
      <c r="BZ76" s="132"/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</row>
    <row r="77" ht="21.0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59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59"/>
      <c r="BH77" s="132"/>
      <c r="BI77" s="132"/>
      <c r="BJ77" s="132"/>
      <c r="BK77" s="132"/>
      <c r="BL77" s="132"/>
      <c r="BM77" s="132"/>
      <c r="BN77" s="132"/>
      <c r="BO77" s="132"/>
      <c r="BP77" s="132"/>
      <c r="BQ77" s="132"/>
      <c r="BR77" s="132"/>
      <c r="BS77" s="132"/>
      <c r="BT77" s="132"/>
      <c r="BU77" s="132"/>
      <c r="BV77" s="59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</row>
    <row r="78" ht="21.0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59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59"/>
      <c r="BH78" s="132"/>
      <c r="BI78" s="132"/>
      <c r="BJ78" s="132"/>
      <c r="BK78" s="132"/>
      <c r="BL78" s="132"/>
      <c r="BM78" s="132"/>
      <c r="BN78" s="132"/>
      <c r="BO78" s="132"/>
      <c r="BP78" s="132"/>
      <c r="BQ78" s="132"/>
      <c r="BR78" s="132"/>
      <c r="BS78" s="132"/>
      <c r="BT78" s="132"/>
      <c r="BU78" s="132"/>
      <c r="BV78" s="59"/>
      <c r="BW78" s="132"/>
      <c r="BX78" s="132"/>
      <c r="BY78" s="132"/>
      <c r="BZ78" s="132"/>
      <c r="CA78" s="132"/>
      <c r="CB78" s="132"/>
      <c r="CC78" s="132"/>
      <c r="CD78" s="132"/>
      <c r="CE78" s="132"/>
      <c r="CF78" s="132"/>
      <c r="CG78" s="132"/>
      <c r="CH78" s="132"/>
      <c r="CI78" s="132"/>
      <c r="CJ78" s="132"/>
      <c r="CK78" s="132"/>
      <c r="CL78" s="132"/>
    </row>
    <row r="79" ht="21.0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59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59"/>
      <c r="BH79" s="132"/>
      <c r="BI79" s="132"/>
      <c r="BJ79" s="132"/>
      <c r="BK79" s="132"/>
      <c r="BL79" s="132"/>
      <c r="BM79" s="132"/>
      <c r="BN79" s="132"/>
      <c r="BO79" s="132"/>
      <c r="BP79" s="132"/>
      <c r="BQ79" s="132"/>
      <c r="BR79" s="132"/>
      <c r="BS79" s="132"/>
      <c r="BT79" s="132"/>
      <c r="BU79" s="132"/>
      <c r="BV79" s="59"/>
      <c r="BW79" s="132"/>
      <c r="BX79" s="132"/>
      <c r="BY79" s="132"/>
      <c r="BZ79" s="132"/>
      <c r="CA79" s="132"/>
      <c r="CB79" s="132"/>
      <c r="CC79" s="132"/>
      <c r="CD79" s="132"/>
      <c r="CE79" s="132"/>
      <c r="CF79" s="132"/>
      <c r="CG79" s="132"/>
      <c r="CH79" s="132"/>
      <c r="CI79" s="132"/>
      <c r="CJ79" s="132"/>
      <c r="CK79" s="132"/>
      <c r="CL79" s="132"/>
    </row>
    <row r="80" ht="21.0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59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59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2"/>
      <c r="BU80" s="132"/>
      <c r="BV80" s="59"/>
      <c r="BW80" s="132"/>
      <c r="BX80" s="132"/>
      <c r="BY80" s="132"/>
      <c r="BZ80" s="132"/>
      <c r="CA80" s="132"/>
      <c r="CB80" s="132"/>
      <c r="CC80" s="132"/>
      <c r="CD80" s="132"/>
      <c r="CE80" s="132"/>
      <c r="CF80" s="132"/>
      <c r="CG80" s="132"/>
      <c r="CH80" s="132"/>
      <c r="CI80" s="132"/>
      <c r="CJ80" s="132"/>
      <c r="CK80" s="132"/>
      <c r="CL80" s="132"/>
    </row>
    <row r="81" ht="21.0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59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59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  <c r="BR81" s="132"/>
      <c r="BS81" s="132"/>
      <c r="BT81" s="132"/>
      <c r="BU81" s="132"/>
      <c r="BV81" s="59"/>
      <c r="BW81" s="132"/>
      <c r="BX81" s="132"/>
      <c r="BY81" s="132"/>
      <c r="BZ81" s="132"/>
      <c r="CA81" s="132"/>
      <c r="CB81" s="132"/>
      <c r="CC81" s="132"/>
      <c r="CD81" s="132"/>
      <c r="CE81" s="132"/>
      <c r="CF81" s="132"/>
      <c r="CG81" s="132"/>
      <c r="CH81" s="132"/>
      <c r="CI81" s="132"/>
      <c r="CJ81" s="132"/>
      <c r="CK81" s="132"/>
      <c r="CL81" s="132"/>
    </row>
    <row r="82" ht="21.0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59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59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59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</row>
    <row r="83" ht="21.0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59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59"/>
      <c r="BH83" s="132"/>
      <c r="BI83" s="132"/>
      <c r="BJ83" s="132"/>
      <c r="BK83" s="132"/>
      <c r="BL83" s="132"/>
      <c r="BM83" s="132"/>
      <c r="BN83" s="132"/>
      <c r="BO83" s="132"/>
      <c r="BP83" s="132"/>
      <c r="BQ83" s="132"/>
      <c r="BR83" s="132"/>
      <c r="BS83" s="132"/>
      <c r="BT83" s="132"/>
      <c r="BU83" s="132"/>
      <c r="BV83" s="59"/>
      <c r="BW83" s="132"/>
      <c r="BX83" s="132"/>
      <c r="BY83" s="132"/>
      <c r="BZ83" s="132"/>
      <c r="CA83" s="132"/>
      <c r="CB83" s="132"/>
      <c r="CC83" s="132"/>
      <c r="CD83" s="132"/>
      <c r="CE83" s="132"/>
      <c r="CF83" s="132"/>
      <c r="CG83" s="132"/>
      <c r="CH83" s="132"/>
      <c r="CI83" s="132"/>
      <c r="CJ83" s="132"/>
      <c r="CK83" s="132"/>
      <c r="CL83" s="132"/>
    </row>
    <row r="84" ht="21.0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59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59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2"/>
      <c r="BU84" s="132"/>
      <c r="BV84" s="59"/>
      <c r="BW84" s="132"/>
      <c r="BX84" s="132"/>
      <c r="BY84" s="132"/>
      <c r="BZ84" s="132"/>
      <c r="CA84" s="132"/>
      <c r="CB84" s="132"/>
      <c r="CC84" s="132"/>
      <c r="CD84" s="132"/>
      <c r="CE84" s="132"/>
      <c r="CF84" s="132"/>
      <c r="CG84" s="132"/>
      <c r="CH84" s="132"/>
      <c r="CI84" s="132"/>
      <c r="CJ84" s="132"/>
      <c r="CK84" s="132"/>
      <c r="CL84" s="132"/>
    </row>
    <row r="85" ht="21.0" customHeigh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59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59"/>
      <c r="BH85" s="132"/>
      <c r="BI85" s="132"/>
      <c r="BJ85" s="132"/>
      <c r="BK85" s="132"/>
      <c r="BL85" s="132"/>
      <c r="BM85" s="132"/>
      <c r="BN85" s="132"/>
      <c r="BO85" s="132"/>
      <c r="BP85" s="132"/>
      <c r="BQ85" s="132"/>
      <c r="BR85" s="132"/>
      <c r="BS85" s="132"/>
      <c r="BT85" s="132"/>
      <c r="BU85" s="132"/>
      <c r="BV85" s="59"/>
      <c r="BW85" s="132"/>
      <c r="BX85" s="132"/>
      <c r="BY85" s="132"/>
      <c r="BZ85" s="132"/>
      <c r="CA85" s="132"/>
      <c r="CB85" s="132"/>
      <c r="CC85" s="132"/>
      <c r="CD85" s="132"/>
      <c r="CE85" s="132"/>
      <c r="CF85" s="132"/>
      <c r="CG85" s="132"/>
      <c r="CH85" s="132"/>
      <c r="CI85" s="132"/>
      <c r="CJ85" s="132"/>
      <c r="CK85" s="132"/>
      <c r="CL85" s="132"/>
    </row>
    <row r="86" ht="21.0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59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59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59"/>
      <c r="BW86" s="132"/>
      <c r="BX86" s="132"/>
      <c r="BY86" s="132"/>
      <c r="BZ86" s="132"/>
      <c r="CA86" s="132"/>
      <c r="CB86" s="132"/>
      <c r="CC86" s="132"/>
      <c r="CD86" s="132"/>
      <c r="CE86" s="132"/>
      <c r="CF86" s="132"/>
      <c r="CG86" s="132"/>
      <c r="CH86" s="132"/>
      <c r="CI86" s="132"/>
      <c r="CJ86" s="132"/>
      <c r="CK86" s="132"/>
      <c r="CL86" s="132"/>
    </row>
    <row r="87" ht="21.0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59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59"/>
      <c r="BH87" s="132"/>
      <c r="BI87" s="132"/>
      <c r="BJ87" s="132"/>
      <c r="BK87" s="132"/>
      <c r="BL87" s="132"/>
      <c r="BM87" s="132"/>
      <c r="BN87" s="132"/>
      <c r="BO87" s="132"/>
      <c r="BP87" s="132"/>
      <c r="BQ87" s="132"/>
      <c r="BR87" s="132"/>
      <c r="BS87" s="132"/>
      <c r="BT87" s="132"/>
      <c r="BU87" s="132"/>
      <c r="BV87" s="59"/>
      <c r="BW87" s="132"/>
      <c r="BX87" s="132"/>
      <c r="BY87" s="132"/>
      <c r="BZ87" s="132"/>
      <c r="CA87" s="132"/>
      <c r="CB87" s="132"/>
      <c r="CC87" s="132"/>
      <c r="CD87" s="132"/>
      <c r="CE87" s="132"/>
      <c r="CF87" s="132"/>
      <c r="CG87" s="132"/>
      <c r="CH87" s="132"/>
      <c r="CI87" s="132"/>
      <c r="CJ87" s="132"/>
      <c r="CK87" s="132"/>
      <c r="CL87" s="132"/>
    </row>
    <row r="88" ht="21.0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59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59"/>
      <c r="BH88" s="132"/>
      <c r="BI88" s="132"/>
      <c r="BJ88" s="132"/>
      <c r="BK88" s="132"/>
      <c r="BL88" s="132"/>
      <c r="BM88" s="132"/>
      <c r="BN88" s="132"/>
      <c r="BO88" s="132"/>
      <c r="BP88" s="132"/>
      <c r="BQ88" s="132"/>
      <c r="BR88" s="132"/>
      <c r="BS88" s="132"/>
      <c r="BT88" s="132"/>
      <c r="BU88" s="132"/>
      <c r="BV88" s="59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</row>
    <row r="89" ht="21.0" customHeigh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59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59"/>
      <c r="BH89" s="132"/>
      <c r="BI89" s="132"/>
      <c r="BJ89" s="132"/>
      <c r="BK89" s="132"/>
      <c r="BL89" s="132"/>
      <c r="BM89" s="132"/>
      <c r="BN89" s="132"/>
      <c r="BO89" s="132"/>
      <c r="BP89" s="132"/>
      <c r="BQ89" s="132"/>
      <c r="BR89" s="132"/>
      <c r="BS89" s="132"/>
      <c r="BT89" s="132"/>
      <c r="BU89" s="132"/>
      <c r="BV89" s="59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</row>
    <row r="90" ht="21.0" customHeigh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59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59"/>
      <c r="BH90" s="132"/>
      <c r="BI90" s="132"/>
      <c r="BJ90" s="132"/>
      <c r="BK90" s="132"/>
      <c r="BL90" s="132"/>
      <c r="BM90" s="132"/>
      <c r="BN90" s="132"/>
      <c r="BO90" s="132"/>
      <c r="BP90" s="132"/>
      <c r="BQ90" s="132"/>
      <c r="BR90" s="132"/>
      <c r="BS90" s="132"/>
      <c r="BT90" s="132"/>
      <c r="BU90" s="132"/>
      <c r="BV90" s="59"/>
      <c r="BW90" s="132"/>
      <c r="BX90" s="132"/>
      <c r="BY90" s="132"/>
      <c r="BZ90" s="132"/>
      <c r="CA90" s="132"/>
      <c r="CB90" s="132"/>
      <c r="CC90" s="132"/>
      <c r="CD90" s="132"/>
      <c r="CE90" s="132"/>
      <c r="CF90" s="132"/>
      <c r="CG90" s="132"/>
      <c r="CH90" s="132"/>
      <c r="CI90" s="132"/>
      <c r="CJ90" s="132"/>
      <c r="CK90" s="132"/>
      <c r="CL90" s="132"/>
    </row>
    <row r="91" ht="21.0" customHeigh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59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59"/>
      <c r="BH91" s="132"/>
      <c r="BI91" s="132"/>
      <c r="BJ91" s="132"/>
      <c r="BK91" s="132"/>
      <c r="BL91" s="132"/>
      <c r="BM91" s="132"/>
      <c r="BN91" s="132"/>
      <c r="BO91" s="132"/>
      <c r="BP91" s="132"/>
      <c r="BQ91" s="132"/>
      <c r="BR91" s="132"/>
      <c r="BS91" s="132"/>
      <c r="BT91" s="132"/>
      <c r="BU91" s="132"/>
      <c r="BV91" s="59"/>
      <c r="BW91" s="132"/>
      <c r="BX91" s="132"/>
      <c r="BY91" s="132"/>
      <c r="BZ91" s="132"/>
      <c r="CA91" s="132"/>
      <c r="CB91" s="132"/>
      <c r="CC91" s="132"/>
      <c r="CD91" s="132"/>
      <c r="CE91" s="132"/>
      <c r="CF91" s="132"/>
      <c r="CG91" s="132"/>
      <c r="CH91" s="132"/>
      <c r="CI91" s="132"/>
      <c r="CJ91" s="132"/>
      <c r="CK91" s="132"/>
      <c r="CL91" s="132"/>
    </row>
    <row r="92" ht="21.0" customHeigh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59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59"/>
      <c r="BH92" s="132"/>
      <c r="BI92" s="132"/>
      <c r="BJ92" s="132"/>
      <c r="BK92" s="132"/>
      <c r="BL92" s="132"/>
      <c r="BM92" s="132"/>
      <c r="BN92" s="132"/>
      <c r="BO92" s="132"/>
      <c r="BP92" s="132"/>
      <c r="BQ92" s="132"/>
      <c r="BR92" s="132"/>
      <c r="BS92" s="132"/>
      <c r="BT92" s="132"/>
      <c r="BU92" s="132"/>
      <c r="BV92" s="59"/>
      <c r="BW92" s="132"/>
      <c r="BX92" s="132"/>
      <c r="BY92" s="132"/>
      <c r="BZ92" s="132"/>
      <c r="CA92" s="132"/>
      <c r="CB92" s="132"/>
      <c r="CC92" s="132"/>
      <c r="CD92" s="132"/>
      <c r="CE92" s="132"/>
      <c r="CF92" s="132"/>
      <c r="CG92" s="132"/>
      <c r="CH92" s="132"/>
      <c r="CI92" s="132"/>
      <c r="CJ92" s="132"/>
      <c r="CK92" s="132"/>
      <c r="CL92" s="132"/>
    </row>
    <row r="93" ht="21.0" customHeigh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59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59"/>
      <c r="BH93" s="132"/>
      <c r="BI93" s="132"/>
      <c r="BJ93" s="132"/>
      <c r="BK93" s="132"/>
      <c r="BL93" s="132"/>
      <c r="BM93" s="132"/>
      <c r="BN93" s="132"/>
      <c r="BO93" s="132"/>
      <c r="BP93" s="132"/>
      <c r="BQ93" s="132"/>
      <c r="BR93" s="132"/>
      <c r="BS93" s="132"/>
      <c r="BT93" s="132"/>
      <c r="BU93" s="132"/>
      <c r="BV93" s="59"/>
      <c r="BW93" s="132"/>
      <c r="BX93" s="132"/>
      <c r="BY93" s="132"/>
      <c r="BZ93" s="132"/>
      <c r="CA93" s="132"/>
      <c r="CB93" s="132"/>
      <c r="CC93" s="132"/>
      <c r="CD93" s="132"/>
      <c r="CE93" s="132"/>
      <c r="CF93" s="132"/>
      <c r="CG93" s="132"/>
      <c r="CH93" s="132"/>
      <c r="CI93" s="132"/>
      <c r="CJ93" s="132"/>
      <c r="CK93" s="132"/>
      <c r="CL93" s="132"/>
    </row>
    <row r="94" ht="21.0" customHeigh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59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59"/>
      <c r="BH94" s="132"/>
      <c r="BI94" s="132"/>
      <c r="BJ94" s="132"/>
      <c r="BK94" s="132"/>
      <c r="BL94" s="132"/>
      <c r="BM94" s="132"/>
      <c r="BN94" s="132"/>
      <c r="BO94" s="132"/>
      <c r="BP94" s="132"/>
      <c r="BQ94" s="132"/>
      <c r="BR94" s="132"/>
      <c r="BS94" s="132"/>
      <c r="BT94" s="132"/>
      <c r="BU94" s="132"/>
      <c r="BV94" s="59"/>
      <c r="BW94" s="132"/>
      <c r="BX94" s="132"/>
      <c r="BY94" s="132"/>
      <c r="BZ94" s="132"/>
      <c r="CA94" s="132"/>
      <c r="CB94" s="132"/>
      <c r="CC94" s="132"/>
      <c r="CD94" s="132"/>
      <c r="CE94" s="132"/>
      <c r="CF94" s="132"/>
      <c r="CG94" s="132"/>
      <c r="CH94" s="132"/>
      <c r="CI94" s="132"/>
      <c r="CJ94" s="132"/>
      <c r="CK94" s="132"/>
      <c r="CL94" s="132"/>
    </row>
    <row r="95" ht="21.0" customHeigh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59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59"/>
      <c r="BH95" s="132"/>
      <c r="BI95" s="132"/>
      <c r="BJ95" s="132"/>
      <c r="BK95" s="132"/>
      <c r="BL95" s="132"/>
      <c r="BM95" s="132"/>
      <c r="BN95" s="132"/>
      <c r="BO95" s="132"/>
      <c r="BP95" s="132"/>
      <c r="BQ95" s="132"/>
      <c r="BR95" s="132"/>
      <c r="BS95" s="132"/>
      <c r="BT95" s="132"/>
      <c r="BU95" s="132"/>
      <c r="BV95" s="59"/>
      <c r="BW95" s="132"/>
      <c r="BX95" s="132"/>
      <c r="BY95" s="132"/>
      <c r="BZ95" s="132"/>
      <c r="CA95" s="132"/>
      <c r="CB95" s="132"/>
      <c r="CC95" s="132"/>
      <c r="CD95" s="132"/>
      <c r="CE95" s="132"/>
      <c r="CF95" s="132"/>
      <c r="CG95" s="132"/>
      <c r="CH95" s="132"/>
      <c r="CI95" s="132"/>
      <c r="CJ95" s="132"/>
      <c r="CK95" s="132"/>
      <c r="CL95" s="132"/>
    </row>
    <row r="96" ht="21.0" customHeigh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59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59"/>
      <c r="BH96" s="132"/>
      <c r="BI96" s="132"/>
      <c r="BJ96" s="132"/>
      <c r="BK96" s="132"/>
      <c r="BL96" s="132"/>
      <c r="BM96" s="132"/>
      <c r="BN96" s="132"/>
      <c r="BO96" s="132"/>
      <c r="BP96" s="132"/>
      <c r="BQ96" s="132"/>
      <c r="BR96" s="132"/>
      <c r="BS96" s="132"/>
      <c r="BT96" s="132"/>
      <c r="BU96" s="132"/>
      <c r="BV96" s="59"/>
      <c r="BW96" s="132"/>
      <c r="BX96" s="132"/>
      <c r="BY96" s="132"/>
      <c r="BZ96" s="132"/>
      <c r="CA96" s="132"/>
      <c r="CB96" s="132"/>
      <c r="CC96" s="132"/>
      <c r="CD96" s="132"/>
      <c r="CE96" s="132"/>
      <c r="CF96" s="132"/>
      <c r="CG96" s="132"/>
      <c r="CH96" s="132"/>
      <c r="CI96" s="132"/>
      <c r="CJ96" s="132"/>
      <c r="CK96" s="132"/>
      <c r="CL96" s="132"/>
    </row>
    <row r="97" ht="21.0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59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59"/>
      <c r="BH97" s="132"/>
      <c r="BI97" s="132"/>
      <c r="BJ97" s="132"/>
      <c r="BK97" s="132"/>
      <c r="BL97" s="132"/>
      <c r="BM97" s="132"/>
      <c r="BN97" s="132"/>
      <c r="BO97" s="132"/>
      <c r="BP97" s="132"/>
      <c r="BQ97" s="132"/>
      <c r="BR97" s="132"/>
      <c r="BS97" s="132"/>
      <c r="BT97" s="132"/>
      <c r="BU97" s="132"/>
      <c r="BV97" s="59"/>
      <c r="BW97" s="132"/>
      <c r="BX97" s="132"/>
      <c r="BY97" s="132"/>
      <c r="BZ97" s="132"/>
      <c r="CA97" s="132"/>
      <c r="CB97" s="132"/>
      <c r="CC97" s="132"/>
      <c r="CD97" s="132"/>
      <c r="CE97" s="132"/>
      <c r="CF97" s="132"/>
      <c r="CG97" s="132"/>
      <c r="CH97" s="132"/>
      <c r="CI97" s="132"/>
      <c r="CJ97" s="132"/>
      <c r="CK97" s="132"/>
      <c r="CL97" s="132"/>
    </row>
    <row r="98" ht="21.0" customHeight="1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59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59"/>
      <c r="BH98" s="132"/>
      <c r="BI98" s="132"/>
      <c r="BJ98" s="132"/>
      <c r="BK98" s="132"/>
      <c r="BL98" s="132"/>
      <c r="BM98" s="132"/>
      <c r="BN98" s="132"/>
      <c r="BO98" s="132"/>
      <c r="BP98" s="132"/>
      <c r="BQ98" s="132"/>
      <c r="BR98" s="132"/>
      <c r="BS98" s="132"/>
      <c r="BT98" s="132"/>
      <c r="BU98" s="132"/>
      <c r="BV98" s="59"/>
      <c r="BW98" s="132"/>
      <c r="BX98" s="132"/>
      <c r="BY98" s="132"/>
      <c r="BZ98" s="132"/>
      <c r="CA98" s="132"/>
      <c r="CB98" s="132"/>
      <c r="CC98" s="132"/>
      <c r="CD98" s="132"/>
      <c r="CE98" s="132"/>
      <c r="CF98" s="132"/>
      <c r="CG98" s="132"/>
      <c r="CH98" s="132"/>
      <c r="CI98" s="132"/>
      <c r="CJ98" s="132"/>
      <c r="CK98" s="132"/>
      <c r="CL98" s="132"/>
    </row>
    <row r="99" ht="21.0" customHeight="1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59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59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  <c r="BR99" s="132"/>
      <c r="BS99" s="132"/>
      <c r="BT99" s="132"/>
      <c r="BU99" s="132"/>
      <c r="BV99" s="59"/>
      <c r="BW99" s="132"/>
      <c r="BX99" s="132"/>
      <c r="BY99" s="132"/>
      <c r="BZ99" s="132"/>
      <c r="CA99" s="132"/>
      <c r="CB99" s="132"/>
      <c r="CC99" s="132"/>
      <c r="CD99" s="132"/>
      <c r="CE99" s="132"/>
      <c r="CF99" s="132"/>
      <c r="CG99" s="132"/>
      <c r="CH99" s="132"/>
      <c r="CI99" s="132"/>
      <c r="CJ99" s="132"/>
      <c r="CK99" s="132"/>
      <c r="CL99" s="132"/>
    </row>
    <row r="100" ht="21.0" customHeight="1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59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59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2"/>
      <c r="BU100" s="132"/>
      <c r="BV100" s="59"/>
      <c r="BW100" s="132"/>
      <c r="BX100" s="132"/>
      <c r="BY100" s="132"/>
      <c r="BZ100" s="132"/>
      <c r="CA100" s="132"/>
      <c r="CB100" s="132"/>
      <c r="CC100" s="132"/>
      <c r="CD100" s="132"/>
      <c r="CE100" s="132"/>
      <c r="CF100" s="132"/>
      <c r="CG100" s="132"/>
      <c r="CH100" s="132"/>
      <c r="CI100" s="132"/>
      <c r="CJ100" s="132"/>
      <c r="CK100" s="132"/>
      <c r="CL100" s="132"/>
    </row>
    <row r="101" ht="21.0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59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59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2"/>
      <c r="BR101" s="132"/>
      <c r="BS101" s="132"/>
      <c r="BT101" s="132"/>
      <c r="BU101" s="132"/>
      <c r="BV101" s="59"/>
      <c r="BW101" s="132"/>
      <c r="BX101" s="132"/>
      <c r="BY101" s="132"/>
      <c r="BZ101" s="132"/>
      <c r="CA101" s="132"/>
      <c r="CB101" s="132"/>
      <c r="CC101" s="132"/>
      <c r="CD101" s="132"/>
      <c r="CE101" s="132"/>
      <c r="CF101" s="132"/>
      <c r="CG101" s="132"/>
      <c r="CH101" s="132"/>
      <c r="CI101" s="132"/>
      <c r="CJ101" s="132"/>
      <c r="CK101" s="132"/>
      <c r="CL101" s="132"/>
    </row>
    <row r="102" ht="21.0" customHeight="1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59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59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2"/>
      <c r="BR102" s="132"/>
      <c r="BS102" s="132"/>
      <c r="BT102" s="132"/>
      <c r="BU102" s="132"/>
      <c r="BV102" s="59"/>
      <c r="BW102" s="132"/>
      <c r="BX102" s="132"/>
      <c r="BY102" s="132"/>
      <c r="BZ102" s="132"/>
      <c r="CA102" s="132"/>
      <c r="CB102" s="132"/>
      <c r="CC102" s="132"/>
      <c r="CD102" s="132"/>
      <c r="CE102" s="132"/>
      <c r="CF102" s="132"/>
      <c r="CG102" s="132"/>
      <c r="CH102" s="132"/>
      <c r="CI102" s="132"/>
      <c r="CJ102" s="132"/>
      <c r="CK102" s="132"/>
      <c r="CL102" s="132"/>
    </row>
    <row r="103" ht="21.0" customHeight="1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59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59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2"/>
      <c r="BR103" s="132"/>
      <c r="BS103" s="132"/>
      <c r="BT103" s="132"/>
      <c r="BU103" s="132"/>
      <c r="BV103" s="59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</row>
    <row r="104" ht="21.0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59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59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2"/>
      <c r="BR104" s="132"/>
      <c r="BS104" s="132"/>
      <c r="BT104" s="132"/>
      <c r="BU104" s="132"/>
      <c r="BV104" s="59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</row>
    <row r="105" ht="21.0" customHeight="1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59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59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2"/>
      <c r="BR105" s="132"/>
      <c r="BS105" s="132"/>
      <c r="BT105" s="132"/>
      <c r="BU105" s="132"/>
      <c r="BV105" s="59"/>
      <c r="BW105" s="132"/>
      <c r="BX105" s="132"/>
      <c r="BY105" s="132"/>
      <c r="BZ105" s="132"/>
      <c r="CA105" s="132"/>
      <c r="CB105" s="132"/>
      <c r="CC105" s="132"/>
      <c r="CD105" s="132"/>
      <c r="CE105" s="132"/>
      <c r="CF105" s="132"/>
      <c r="CG105" s="132"/>
      <c r="CH105" s="132"/>
      <c r="CI105" s="132"/>
      <c r="CJ105" s="132"/>
      <c r="CK105" s="132"/>
      <c r="CL105" s="132"/>
    </row>
    <row r="106" ht="21.0" customHeight="1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59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59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59"/>
      <c r="BW106" s="132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</row>
    <row r="107" ht="21.0" customHeight="1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59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59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2"/>
      <c r="BR107" s="132"/>
      <c r="BS107" s="132"/>
      <c r="BT107" s="132"/>
      <c r="BU107" s="132"/>
      <c r="BV107" s="59"/>
      <c r="BW107" s="132"/>
      <c r="BX107" s="132"/>
      <c r="BY107" s="132"/>
      <c r="BZ107" s="132"/>
      <c r="CA107" s="132"/>
      <c r="CB107" s="132"/>
      <c r="CC107" s="132"/>
      <c r="CD107" s="132"/>
      <c r="CE107" s="132"/>
      <c r="CF107" s="132"/>
      <c r="CG107" s="132"/>
      <c r="CH107" s="132"/>
      <c r="CI107" s="132"/>
      <c r="CJ107" s="132"/>
      <c r="CK107" s="132"/>
      <c r="CL107" s="132"/>
    </row>
    <row r="108" ht="21.0" customHeight="1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59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59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2"/>
      <c r="BR108" s="132"/>
      <c r="BS108" s="132"/>
      <c r="BT108" s="132"/>
      <c r="BU108" s="132"/>
      <c r="BV108" s="59"/>
      <c r="BW108" s="132"/>
      <c r="BX108" s="132"/>
      <c r="BY108" s="132"/>
      <c r="BZ108" s="132"/>
      <c r="CA108" s="132"/>
      <c r="CB108" s="132"/>
      <c r="CC108" s="132"/>
      <c r="CD108" s="132"/>
      <c r="CE108" s="132"/>
      <c r="CF108" s="132"/>
      <c r="CG108" s="132"/>
      <c r="CH108" s="132"/>
      <c r="CI108" s="132"/>
      <c r="CJ108" s="132"/>
      <c r="CK108" s="132"/>
      <c r="CL108" s="132"/>
    </row>
    <row r="109" ht="21.0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59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59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59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2"/>
      <c r="CG109" s="132"/>
      <c r="CH109" s="132"/>
      <c r="CI109" s="132"/>
      <c r="CJ109" s="132"/>
      <c r="CK109" s="132"/>
      <c r="CL109" s="132"/>
    </row>
    <row r="110" ht="21.0" customHeight="1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59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59"/>
      <c r="BH110" s="132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59"/>
      <c r="BW110" s="132"/>
      <c r="BX110" s="132"/>
      <c r="BY110" s="132"/>
      <c r="BZ110" s="132"/>
      <c r="CA110" s="132"/>
      <c r="CB110" s="132"/>
      <c r="CC110" s="132"/>
      <c r="CD110" s="132"/>
      <c r="CE110" s="132"/>
      <c r="CF110" s="132"/>
      <c r="CG110" s="132"/>
      <c r="CH110" s="132"/>
      <c r="CI110" s="132"/>
      <c r="CJ110" s="132"/>
      <c r="CK110" s="132"/>
      <c r="CL110" s="132"/>
    </row>
    <row r="111" ht="21.0" customHeight="1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</row>
    <row r="112" ht="21.0" customHeight="1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</row>
    <row r="113" ht="21.0" customHeight="1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</row>
    <row r="114" ht="21.0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</row>
    <row r="115" ht="21.0" customHeight="1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</row>
    <row r="116" ht="21.0" customHeight="1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</row>
    <row r="117" ht="21.0" customHeight="1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</row>
    <row r="118" ht="21.0" customHeight="1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</row>
    <row r="119" ht="21.0" customHeight="1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</row>
    <row r="120" ht="21.0" customHeight="1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</row>
    <row r="121" ht="21.0" customHeight="1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</row>
    <row r="122" ht="21.0" customHeight="1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</row>
    <row r="123" ht="21.0" customHeight="1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</row>
    <row r="124" ht="21.0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</row>
    <row r="125" ht="21.0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</row>
    <row r="126" ht="21.0" customHeight="1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</row>
    <row r="127" ht="21.0" customHeight="1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</row>
    <row r="128" ht="21.0" customHeight="1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</row>
    <row r="129" ht="21.0" customHeight="1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</row>
    <row r="130" ht="21.0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</row>
    <row r="131" ht="21.0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</row>
    <row r="132" ht="21.0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</row>
    <row r="133" ht="21.0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</row>
    <row r="134" ht="21.0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</row>
    <row r="135" ht="21.0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</row>
    <row r="136" ht="21.0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</row>
    <row r="137" ht="21.0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</row>
    <row r="138" ht="21.0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</row>
    <row r="139" ht="21.0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</row>
    <row r="140" ht="21.0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</row>
    <row r="141" ht="21.0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</row>
    <row r="142" ht="21.0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</row>
    <row r="143" ht="21.0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</row>
    <row r="144" ht="21.0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</row>
    <row r="145" ht="21.0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</row>
    <row r="146" ht="21.0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</row>
    <row r="147" ht="21.0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</row>
    <row r="148" ht="21.0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</row>
    <row r="149" ht="21.0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</row>
    <row r="150" ht="21.0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</row>
    <row r="151" ht="21.0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</row>
    <row r="152" ht="21.0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</row>
    <row r="153" ht="21.0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</row>
    <row r="154" ht="21.0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</row>
    <row r="155" ht="21.0" customHeight="1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</row>
    <row r="156" ht="21.0" customHeight="1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</row>
    <row r="157" ht="21.0" customHeight="1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</row>
    <row r="158" ht="21.0" customHeight="1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</row>
    <row r="159" ht="21.0" customHeight="1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</row>
    <row r="160" ht="21.0" customHeight="1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</row>
    <row r="161" ht="21.0" customHeight="1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</row>
    <row r="162" ht="21.0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</row>
    <row r="163" ht="21.0" customHeight="1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</row>
    <row r="164" ht="21.0" customHeight="1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</row>
    <row r="165" ht="21.0" customHeight="1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</row>
    <row r="166" ht="21.0" customHeight="1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</row>
    <row r="167" ht="21.0" customHeight="1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</row>
    <row r="168" ht="21.0" customHeight="1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</row>
    <row r="169" ht="21.0" customHeight="1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</row>
    <row r="170" ht="21.0" customHeight="1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</row>
    <row r="171" ht="21.0" customHeight="1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</row>
    <row r="172" ht="21.0" customHeight="1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</row>
    <row r="173" ht="21.0" customHeight="1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</row>
    <row r="174" ht="21.0" customHeight="1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</row>
    <row r="175" ht="21.0" customHeight="1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</row>
    <row r="176" ht="21.0" customHeight="1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</row>
    <row r="177" ht="21.0" customHeight="1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</row>
    <row r="178" ht="21.0" customHeight="1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</row>
    <row r="179" ht="21.0" customHeight="1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</row>
    <row r="180" ht="21.0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</row>
    <row r="181" ht="21.0" customHeight="1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</row>
    <row r="182" ht="21.0" customHeight="1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</row>
    <row r="183" ht="21.0" customHeight="1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</row>
    <row r="184" ht="21.0" customHeight="1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</row>
    <row r="185" ht="21.0" customHeight="1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</row>
    <row r="186" ht="21.0" customHeight="1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</row>
    <row r="187" ht="21.0" customHeight="1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</row>
    <row r="188" ht="21.0" customHeight="1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</row>
    <row r="189" ht="21.0" customHeight="1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</row>
    <row r="190" ht="21.0" customHeight="1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</row>
    <row r="191" ht="21.0" customHeight="1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</row>
    <row r="192" ht="21.0" customHeight="1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</row>
    <row r="193" ht="21.0" customHeight="1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</row>
    <row r="194" ht="21.0" customHeight="1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</row>
    <row r="195" ht="21.0" customHeight="1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</row>
    <row r="196" ht="21.0" customHeight="1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</row>
    <row r="197" ht="21.0" customHeight="1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</row>
    <row r="198" ht="21.0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</row>
    <row r="199" ht="21.0" customHeight="1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</row>
    <row r="200" ht="21.0" customHeight="1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</row>
    <row r="201" ht="21.0" customHeight="1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</row>
    <row r="202" ht="21.0" customHeight="1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</row>
    <row r="203" ht="21.0" customHeight="1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</row>
    <row r="204" ht="21.0" customHeight="1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</row>
    <row r="205" ht="21.0" customHeight="1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</row>
    <row r="206" ht="21.0" customHeight="1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</row>
    <row r="207" ht="21.0" customHeight="1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</row>
    <row r="208" ht="21.0" customHeight="1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</row>
    <row r="209" ht="21.0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</row>
    <row r="210" ht="21.0" customHeight="1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</row>
    <row r="211" ht="21.0" customHeight="1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</row>
    <row r="212" ht="21.0" customHeight="1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</row>
    <row r="213" ht="21.0" customHeight="1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</row>
    <row r="214" ht="21.0" customHeight="1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</row>
    <row r="215" ht="21.0" customHeight="1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</row>
    <row r="216" ht="21.0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</row>
    <row r="217" ht="21.0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</row>
    <row r="218" ht="21.0" customHeight="1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</row>
    <row r="219" ht="21.0" customHeight="1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</row>
    <row r="220" ht="21.0" customHeight="1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</row>
    <row r="221" ht="21.0" customHeight="1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</row>
    <row r="222" ht="21.0" customHeight="1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</row>
    <row r="223" ht="21.0" customHeight="1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</row>
    <row r="224" ht="21.0" customHeight="1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</row>
    <row r="225" ht="21.0" customHeight="1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</row>
    <row r="226" ht="21.0" customHeight="1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</row>
    <row r="227" ht="21.0" customHeight="1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</row>
    <row r="228" ht="21.0" customHeight="1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</row>
    <row r="229" ht="21.0" customHeight="1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</row>
    <row r="230" ht="21.0" customHeight="1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</row>
    <row r="231" ht="21.0" customHeight="1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</row>
    <row r="232" ht="21.0" customHeight="1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</row>
    <row r="233" ht="21.0" customHeight="1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</row>
    <row r="234" ht="21.0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</row>
    <row r="235" ht="21.0" customHeight="1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</row>
    <row r="236" ht="21.0" customHeight="1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</row>
    <row r="237" ht="21.0" customHeight="1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</row>
    <row r="238" ht="21.0" customHeight="1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</row>
    <row r="239" ht="21.0" customHeight="1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</row>
    <row r="240" ht="21.0" customHeight="1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</row>
    <row r="241" ht="21.0" customHeight="1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</row>
    <row r="242" ht="21.0" customHeight="1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</row>
    <row r="243" ht="21.0" customHeight="1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</row>
    <row r="244" ht="21.0" customHeight="1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</row>
    <row r="245" ht="21.0" customHeight="1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</row>
    <row r="246" ht="21.0" customHeight="1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</row>
    <row r="247" ht="21.0" customHeight="1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</row>
    <row r="248" ht="21.0" customHeight="1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C1:J1"/>
    <mergeCell ref="N1:Y1"/>
    <mergeCell ref="AD1:AO1"/>
    <mergeCell ref="AS1:BD1"/>
    <mergeCell ref="BH1:BS1"/>
    <mergeCell ref="BW1:CH1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47.5"/>
    <col customWidth="1" min="3" max="3" width="13.63"/>
    <col customWidth="1" min="4" max="13" width="11.13"/>
  </cols>
  <sheetData>
    <row r="1" ht="24.0" customHeight="1">
      <c r="A1" s="133"/>
      <c r="B1" s="134" t="s">
        <v>174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2"/>
    </row>
    <row r="2" ht="15.75" customHeight="1">
      <c r="A2" s="133"/>
      <c r="B2" s="136"/>
      <c r="C2" s="12"/>
      <c r="D2" s="137" t="s">
        <v>7</v>
      </c>
      <c r="E2" s="12"/>
      <c r="F2" s="137">
        <v>2024.0</v>
      </c>
      <c r="G2" s="12"/>
      <c r="H2" s="137">
        <v>2025.0</v>
      </c>
      <c r="I2" s="12"/>
      <c r="J2" s="137">
        <v>2026.0</v>
      </c>
      <c r="K2" s="12"/>
      <c r="L2" s="137">
        <v>2027.0</v>
      </c>
      <c r="M2" s="12"/>
    </row>
    <row r="3" ht="33.0" customHeight="1">
      <c r="A3" s="133"/>
      <c r="B3" s="138" t="s">
        <v>175</v>
      </c>
      <c r="C3" s="139" t="s">
        <v>9</v>
      </c>
      <c r="D3" s="140" t="s">
        <v>10</v>
      </c>
      <c r="E3" s="140" t="s">
        <v>11</v>
      </c>
      <c r="F3" s="140" t="s">
        <v>10</v>
      </c>
      <c r="G3" s="140" t="s">
        <v>11</v>
      </c>
      <c r="H3" s="140" t="s">
        <v>10</v>
      </c>
      <c r="I3" s="140" t="s">
        <v>11</v>
      </c>
      <c r="J3" s="140" t="s">
        <v>10</v>
      </c>
      <c r="K3" s="140" t="s">
        <v>11</v>
      </c>
      <c r="L3" s="140" t="s">
        <v>10</v>
      </c>
      <c r="M3" s="140" t="s">
        <v>11</v>
      </c>
    </row>
    <row r="4" ht="15.75" customHeight="1">
      <c r="A4" s="133"/>
      <c r="B4" s="141" t="s">
        <v>12</v>
      </c>
      <c r="C4" s="142">
        <f t="shared" ref="C4:C6" si="1">D4+F4+H4+J4+L4</f>
        <v>378000</v>
      </c>
      <c r="D4" s="143">
        <f>E4*C13</f>
        <v>63000</v>
      </c>
      <c r="E4" s="144">
        <v>3.0</v>
      </c>
      <c r="F4" s="143">
        <f>G4*C13</f>
        <v>63000</v>
      </c>
      <c r="G4" s="144">
        <v>3.0</v>
      </c>
      <c r="H4" s="143">
        <f>I4*C13</f>
        <v>84000</v>
      </c>
      <c r="I4" s="144">
        <v>4.0</v>
      </c>
      <c r="J4" s="143">
        <f>K4*C13</f>
        <v>84000</v>
      </c>
      <c r="K4" s="144">
        <v>4.0</v>
      </c>
      <c r="L4" s="143">
        <f>M4*C13</f>
        <v>84000</v>
      </c>
      <c r="M4" s="144">
        <v>4.0</v>
      </c>
    </row>
    <row r="5" ht="15.75" customHeight="1">
      <c r="A5" s="133"/>
      <c r="B5" s="141" t="s">
        <v>13</v>
      </c>
      <c r="C5" s="142">
        <f t="shared" si="1"/>
        <v>440000</v>
      </c>
      <c r="D5" s="143">
        <f t="shared" ref="D5:D6" si="2">E5*C11</f>
        <v>60000</v>
      </c>
      <c r="E5" s="144">
        <v>3.0</v>
      </c>
      <c r="F5" s="143">
        <f t="shared" ref="F5:F6" si="3">G5*C11</f>
        <v>80000</v>
      </c>
      <c r="G5" s="144">
        <v>4.0</v>
      </c>
      <c r="H5" s="143">
        <f t="shared" ref="H5:H6" si="4">I5*C11</f>
        <v>100000</v>
      </c>
      <c r="I5" s="144">
        <v>5.0</v>
      </c>
      <c r="J5" s="143">
        <f t="shared" ref="J5:J6" si="5">K5*C11</f>
        <v>100000</v>
      </c>
      <c r="K5" s="144">
        <v>5.0</v>
      </c>
      <c r="L5" s="143">
        <f t="shared" ref="L5:L6" si="6">M5*C11</f>
        <v>100000</v>
      </c>
      <c r="M5" s="144">
        <v>5.0</v>
      </c>
    </row>
    <row r="6" ht="15.75" customHeight="1">
      <c r="A6" s="133"/>
      <c r="B6" s="141" t="s">
        <v>14</v>
      </c>
      <c r="C6" s="142">
        <f t="shared" si="1"/>
        <v>180000</v>
      </c>
      <c r="D6" s="143">
        <f t="shared" si="2"/>
        <v>24000</v>
      </c>
      <c r="E6" s="144">
        <v>2.0</v>
      </c>
      <c r="F6" s="143">
        <f t="shared" si="3"/>
        <v>24000</v>
      </c>
      <c r="G6" s="144">
        <v>2.0</v>
      </c>
      <c r="H6" s="143">
        <f t="shared" si="4"/>
        <v>36000</v>
      </c>
      <c r="I6" s="144">
        <v>3.0</v>
      </c>
      <c r="J6" s="143">
        <f t="shared" si="5"/>
        <v>48000</v>
      </c>
      <c r="K6" s="144">
        <v>4.0</v>
      </c>
      <c r="L6" s="143">
        <f t="shared" si="6"/>
        <v>48000</v>
      </c>
      <c r="M6" s="144">
        <v>4.0</v>
      </c>
    </row>
    <row r="7" ht="15.75" customHeight="1">
      <c r="A7" s="133"/>
      <c r="B7" s="141" t="s">
        <v>20</v>
      </c>
      <c r="C7" s="142">
        <f t="shared" ref="C7:D7" si="7">SUM(C4:C6)</f>
        <v>998000</v>
      </c>
      <c r="D7" s="145">
        <f t="shared" si="7"/>
        <v>147000</v>
      </c>
      <c r="E7" s="143"/>
      <c r="F7" s="143">
        <f>SUM(F4:F6)</f>
        <v>167000</v>
      </c>
      <c r="G7" s="143"/>
      <c r="H7" s="146">
        <f>SUM(H4:H6)</f>
        <v>220000</v>
      </c>
      <c r="I7" s="143"/>
      <c r="J7" s="146">
        <f>SUM(J4:J6)</f>
        <v>232000</v>
      </c>
      <c r="K7" s="143"/>
      <c r="L7" s="146">
        <f>SUM(L4:L6)</f>
        <v>232000</v>
      </c>
      <c r="M7" s="143"/>
    </row>
    <row r="8" ht="15.75" customHeight="1">
      <c r="A8" s="133"/>
      <c r="B8" s="93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</row>
    <row r="9" ht="15.75" customHeight="1">
      <c r="A9" s="133"/>
      <c r="B9" s="148"/>
      <c r="F9" s="148"/>
      <c r="G9" s="148"/>
      <c r="H9" s="148"/>
      <c r="I9" s="148"/>
      <c r="J9" s="148"/>
      <c r="K9" s="148"/>
      <c r="L9" s="148"/>
      <c r="M9" s="148"/>
    </row>
    <row r="10" ht="15.75" customHeight="1">
      <c r="A10" s="133"/>
      <c r="B10" s="149" t="s">
        <v>35</v>
      </c>
      <c r="C10" s="4"/>
      <c r="D10" s="52"/>
      <c r="E10" s="52"/>
      <c r="F10" s="147"/>
      <c r="G10" s="148"/>
      <c r="H10" s="148"/>
      <c r="I10" s="148"/>
      <c r="J10" s="148"/>
      <c r="K10" s="148"/>
      <c r="L10" s="148"/>
      <c r="M10" s="148"/>
    </row>
    <row r="11" ht="15.75" customHeight="1">
      <c r="A11" s="133"/>
      <c r="B11" s="150" t="s">
        <v>176</v>
      </c>
      <c r="C11" s="143">
        <v>20000.0</v>
      </c>
      <c r="F11" s="133"/>
      <c r="G11" s="133"/>
      <c r="H11" s="133"/>
      <c r="I11" s="133"/>
      <c r="J11" s="133"/>
      <c r="K11" s="133"/>
      <c r="L11" s="133"/>
      <c r="M11" s="133"/>
    </row>
    <row r="12" ht="15.75" customHeight="1">
      <c r="A12" s="133"/>
      <c r="B12" s="150" t="s">
        <v>44</v>
      </c>
      <c r="C12" s="143">
        <v>12000.0</v>
      </c>
      <c r="F12" s="133"/>
      <c r="G12" s="133"/>
      <c r="H12" s="133"/>
      <c r="I12" s="133"/>
      <c r="J12" s="133"/>
      <c r="K12" s="133"/>
      <c r="L12" s="133"/>
      <c r="M12" s="133"/>
    </row>
    <row r="13" ht="15.75" customHeight="1">
      <c r="A13" s="133"/>
      <c r="B13" s="150" t="s">
        <v>45</v>
      </c>
      <c r="C13" s="143">
        <v>21000.0</v>
      </c>
      <c r="F13" s="133"/>
      <c r="G13" s="133"/>
      <c r="H13" s="133"/>
      <c r="I13" s="133"/>
      <c r="J13" s="133"/>
      <c r="K13" s="133"/>
      <c r="L13" s="133"/>
      <c r="M13" s="133"/>
    </row>
    <row r="14" ht="15.75" customHeight="1">
      <c r="A14" s="133"/>
      <c r="B14" s="93"/>
      <c r="C14" s="151"/>
      <c r="D14" s="151"/>
      <c r="E14" s="151"/>
      <c r="F14" s="133"/>
      <c r="G14" s="133"/>
      <c r="H14" s="133"/>
      <c r="I14" s="133"/>
      <c r="J14" s="133"/>
      <c r="K14" s="133"/>
      <c r="L14" s="133"/>
      <c r="M14" s="133"/>
    </row>
    <row r="15" ht="15.75" customHeight="1">
      <c r="A15" s="133"/>
      <c r="B15" s="149" t="s">
        <v>177</v>
      </c>
      <c r="C15" s="4"/>
      <c r="D15" s="133"/>
      <c r="E15" s="133"/>
      <c r="F15" s="133"/>
      <c r="G15" s="133"/>
      <c r="H15" s="133"/>
      <c r="I15" s="133"/>
      <c r="J15" s="133"/>
      <c r="K15" s="133"/>
      <c r="L15" s="133"/>
      <c r="M15" s="133"/>
    </row>
    <row r="16" ht="15.75" customHeight="1">
      <c r="A16" s="133"/>
      <c r="B16" s="152" t="s">
        <v>52</v>
      </c>
      <c r="C16" s="4"/>
      <c r="D16" s="133"/>
      <c r="E16" s="133"/>
      <c r="F16" s="133"/>
      <c r="G16" s="133"/>
      <c r="H16" s="133"/>
      <c r="I16" s="133"/>
      <c r="J16" s="133"/>
      <c r="K16" s="133"/>
      <c r="L16" s="133"/>
      <c r="M16" s="133"/>
    </row>
    <row r="17" ht="15.75" customHeight="1">
      <c r="A17" s="133"/>
      <c r="B17" s="152" t="s">
        <v>178</v>
      </c>
      <c r="C17" s="4"/>
      <c r="D17" s="133"/>
      <c r="E17" s="133"/>
      <c r="F17" s="133"/>
      <c r="G17" s="133"/>
      <c r="H17" s="133"/>
      <c r="I17" s="133"/>
      <c r="J17" s="133"/>
      <c r="K17" s="133"/>
      <c r="L17" s="133"/>
      <c r="M17" s="133"/>
    </row>
    <row r="18" ht="15.75" customHeight="1">
      <c r="A18" s="133"/>
      <c r="B18" s="152" t="s">
        <v>54</v>
      </c>
      <c r="C18" s="4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0:C10"/>
    <mergeCell ref="B15:C15"/>
    <mergeCell ref="B16:C16"/>
    <mergeCell ref="B17:C17"/>
    <mergeCell ref="B18:C18"/>
    <mergeCell ref="B1:M1"/>
    <mergeCell ref="B2:C2"/>
    <mergeCell ref="D2:E2"/>
    <mergeCell ref="F2:G2"/>
    <mergeCell ref="H2:I2"/>
    <mergeCell ref="J2:K2"/>
    <mergeCell ref="L2:M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37.88"/>
    <col customWidth="1" min="3" max="8" width="16.5"/>
    <col customWidth="1" min="9" max="21" width="11.13"/>
  </cols>
  <sheetData>
    <row r="1" ht="34.5" customHeight="1">
      <c r="A1" s="153"/>
      <c r="B1" s="154" t="s">
        <v>179</v>
      </c>
      <c r="C1" s="67"/>
      <c r="D1" s="67"/>
      <c r="E1" s="67"/>
      <c r="F1" s="67"/>
      <c r="G1" s="67"/>
      <c r="H1" s="68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</row>
    <row r="2" ht="27.0" customHeight="1">
      <c r="A2" s="155"/>
      <c r="B2" s="156" t="s">
        <v>180</v>
      </c>
      <c r="C2" s="157" t="s">
        <v>9</v>
      </c>
      <c r="D2" s="157" t="s">
        <v>7</v>
      </c>
      <c r="E2" s="157">
        <v>2024.0</v>
      </c>
      <c r="F2" s="157">
        <v>2025.0</v>
      </c>
      <c r="G2" s="157">
        <v>2026.0</v>
      </c>
      <c r="H2" s="157">
        <v>2027.0</v>
      </c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</row>
    <row r="3">
      <c r="A3" s="158"/>
      <c r="B3" s="159" t="s">
        <v>181</v>
      </c>
      <c r="C3" s="160">
        <f t="shared" ref="C3:C7" si="1">SUM(D3:H3)</f>
        <v>57900</v>
      </c>
      <c r="D3" s="160">
        <v>2550.0</v>
      </c>
      <c r="E3" s="160">
        <v>7000.0</v>
      </c>
      <c r="F3" s="160">
        <v>11350.0</v>
      </c>
      <c r="G3" s="160">
        <v>16250.0</v>
      </c>
      <c r="H3" s="160">
        <v>20750.0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ht="45.0" customHeight="1">
      <c r="A4" s="158"/>
      <c r="B4" s="159" t="s">
        <v>182</v>
      </c>
      <c r="C4" s="160">
        <f t="shared" si="1"/>
        <v>28000</v>
      </c>
      <c r="D4" s="160">
        <v>750.0</v>
      </c>
      <c r="E4" s="160">
        <v>3000.0</v>
      </c>
      <c r="F4" s="160">
        <v>5350.0</v>
      </c>
      <c r="G4" s="160">
        <v>8000.0</v>
      </c>
      <c r="H4" s="160">
        <v>10900.0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</row>
    <row r="5" ht="45.0" customHeight="1">
      <c r="A5" s="158"/>
      <c r="B5" s="159" t="s">
        <v>183</v>
      </c>
      <c r="C5" s="160">
        <f t="shared" si="1"/>
        <v>30100</v>
      </c>
      <c r="D5" s="160">
        <v>1000.0</v>
      </c>
      <c r="E5" s="160">
        <v>4000.0</v>
      </c>
      <c r="F5" s="160">
        <v>6100.0</v>
      </c>
      <c r="G5" s="160">
        <v>7500.0</v>
      </c>
      <c r="H5" s="160">
        <v>11500.0</v>
      </c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ht="21.75" customHeight="1">
      <c r="A6" s="158"/>
      <c r="B6" s="24" t="s">
        <v>184</v>
      </c>
      <c r="C6" s="160">
        <f t="shared" si="1"/>
        <v>89050</v>
      </c>
      <c r="D6" s="160">
        <v>4750.0</v>
      </c>
      <c r="E6" s="160">
        <v>14000.0</v>
      </c>
      <c r="F6" s="160">
        <v>19500.0</v>
      </c>
      <c r="G6" s="160">
        <v>23500.0</v>
      </c>
      <c r="H6" s="160">
        <v>27300.0</v>
      </c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</row>
    <row r="7" ht="44.25" customHeight="1">
      <c r="A7" s="158"/>
      <c r="B7" s="159" t="s">
        <v>185</v>
      </c>
      <c r="C7" s="160">
        <f t="shared" si="1"/>
        <v>77500</v>
      </c>
      <c r="D7" s="160">
        <v>4500.0</v>
      </c>
      <c r="E7" s="160">
        <v>13000.0</v>
      </c>
      <c r="F7" s="160">
        <v>16500.0</v>
      </c>
      <c r="G7" s="160">
        <v>19000.0</v>
      </c>
      <c r="H7" s="160">
        <v>24500.0</v>
      </c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</row>
    <row r="8" ht="21.0" customHeight="1">
      <c r="A8" s="158"/>
      <c r="B8" s="161" t="s">
        <v>186</v>
      </c>
      <c r="C8" s="162">
        <f t="shared" ref="C8:H8" si="2">SUM(C3:C7)</f>
        <v>282550</v>
      </c>
      <c r="D8" s="162">
        <f t="shared" si="2"/>
        <v>13550</v>
      </c>
      <c r="E8" s="162">
        <f t="shared" si="2"/>
        <v>41000</v>
      </c>
      <c r="F8" s="162">
        <f t="shared" si="2"/>
        <v>58800</v>
      </c>
      <c r="G8" s="162">
        <f t="shared" si="2"/>
        <v>74250</v>
      </c>
      <c r="H8" s="162">
        <f t="shared" si="2"/>
        <v>94950</v>
      </c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</row>
    <row r="9" ht="15.0" customHeight="1">
      <c r="A9" s="158"/>
      <c r="B9" s="24"/>
      <c r="C9" s="163"/>
      <c r="D9" s="163"/>
      <c r="E9" s="163"/>
      <c r="F9" s="163"/>
      <c r="G9" s="163"/>
      <c r="H9" s="163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ht="19.5" customHeight="1">
      <c r="A10" s="158"/>
      <c r="B10" s="24" t="s">
        <v>187</v>
      </c>
      <c r="C10" s="164">
        <f>SUM(D10:H10)</f>
        <v>5978</v>
      </c>
      <c r="D10" s="164">
        <v>520.0</v>
      </c>
      <c r="E10" s="164">
        <v>856.0</v>
      </c>
      <c r="F10" s="164">
        <v>1195.0</v>
      </c>
      <c r="G10" s="164">
        <v>1534.0</v>
      </c>
      <c r="H10" s="164">
        <v>1873.0</v>
      </c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</row>
    <row r="11" ht="15.75" customHeight="1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</row>
    <row r="12" ht="42.0" customHeight="1">
      <c r="A12" s="153"/>
      <c r="B12" s="165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</row>
    <row r="13" ht="39.75" customHeight="1">
      <c r="A13" s="153"/>
      <c r="B13" s="166"/>
      <c r="C13" s="167"/>
      <c r="D13" s="167"/>
      <c r="E13" s="167"/>
      <c r="F13" s="167"/>
      <c r="G13" s="167"/>
      <c r="H13" s="167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</row>
    <row r="14" ht="45.0" customHeight="1">
      <c r="A14" s="153"/>
      <c r="B14" s="168"/>
      <c r="C14" s="93"/>
      <c r="D14" s="93"/>
      <c r="E14" s="93"/>
      <c r="F14" s="93"/>
      <c r="G14" s="93"/>
      <c r="H14" s="9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</row>
    <row r="15" ht="45.0" customHeight="1">
      <c r="A15" s="153"/>
      <c r="B15" s="168"/>
      <c r="C15" s="93"/>
      <c r="D15" s="93"/>
      <c r="E15" s="93"/>
      <c r="F15" s="93"/>
      <c r="G15" s="93"/>
      <c r="H15" s="9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</row>
    <row r="16" ht="45.0" customHeight="1">
      <c r="A16" s="153"/>
      <c r="B16" s="168"/>
      <c r="C16" s="93"/>
      <c r="D16" s="93"/>
      <c r="E16" s="93"/>
      <c r="F16" s="93"/>
      <c r="G16" s="93"/>
      <c r="H16" s="9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</row>
    <row r="17" ht="45.0" customHeight="1">
      <c r="A17" s="153"/>
      <c r="B17" s="93"/>
      <c r="C17" s="93"/>
      <c r="D17" s="93"/>
      <c r="E17" s="93"/>
      <c r="F17" s="93"/>
      <c r="G17" s="93"/>
      <c r="H17" s="9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</row>
    <row r="18" ht="45.0" customHeight="1">
      <c r="A18" s="153"/>
      <c r="B18" s="93"/>
      <c r="C18" s="93"/>
      <c r="D18" s="93"/>
      <c r="E18" s="93"/>
      <c r="F18" s="93"/>
      <c r="G18" s="93"/>
      <c r="H18" s="9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</row>
    <row r="19" ht="45.0" customHeight="1">
      <c r="A19" s="153"/>
      <c r="B19" s="169"/>
      <c r="C19" s="93"/>
      <c r="D19" s="93"/>
      <c r="E19" s="93"/>
      <c r="F19" s="93"/>
      <c r="G19" s="93"/>
      <c r="H19" s="9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</row>
    <row r="20" ht="33.0" customHeight="1">
      <c r="A20" s="153"/>
      <c r="B20" s="93"/>
      <c r="C20" s="93"/>
      <c r="D20" s="93"/>
      <c r="E20" s="93"/>
      <c r="F20" s="93"/>
      <c r="G20" s="93"/>
      <c r="H20" s="9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</row>
    <row r="21" ht="45.0" customHeight="1">
      <c r="A21" s="153"/>
      <c r="B21" s="93"/>
      <c r="C21" s="93"/>
      <c r="D21" s="93"/>
      <c r="E21" s="93"/>
      <c r="F21" s="93"/>
      <c r="G21" s="93"/>
      <c r="H21" s="9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</row>
    <row r="22" ht="15.75" customHeight="1">
      <c r="A22" s="153"/>
      <c r="B22" s="170"/>
      <c r="C22" s="170"/>
      <c r="D22" s="170"/>
      <c r="E22" s="170"/>
      <c r="F22" s="170"/>
      <c r="G22" s="170"/>
      <c r="H22" s="170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</row>
    <row r="23" ht="45.0" customHeight="1">
      <c r="A23" s="153"/>
      <c r="B23" s="165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</row>
    <row r="24" ht="40.5" customHeight="1">
      <c r="A24" s="153"/>
      <c r="B24" s="166"/>
      <c r="C24" s="167"/>
      <c r="D24" s="167"/>
      <c r="E24" s="167"/>
      <c r="F24" s="167"/>
      <c r="G24" s="167"/>
      <c r="H24" s="167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</row>
    <row r="25" ht="45.0" customHeight="1">
      <c r="A25" s="153"/>
      <c r="B25" s="168"/>
      <c r="C25" s="93"/>
      <c r="D25" s="93"/>
      <c r="E25" s="93"/>
      <c r="F25" s="93"/>
      <c r="G25" s="93"/>
      <c r="H25" s="9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</row>
    <row r="26" ht="45.0" customHeight="1">
      <c r="A26" s="153"/>
      <c r="B26" s="168"/>
      <c r="C26" s="93"/>
      <c r="D26" s="93"/>
      <c r="E26" s="93"/>
      <c r="F26" s="93"/>
      <c r="G26" s="93"/>
      <c r="H26" s="9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</row>
    <row r="27" ht="45.0" customHeight="1">
      <c r="A27" s="153"/>
      <c r="B27" s="168"/>
      <c r="C27" s="93"/>
      <c r="D27" s="93"/>
      <c r="E27" s="93"/>
      <c r="F27" s="93"/>
      <c r="G27" s="93"/>
      <c r="H27" s="9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</row>
    <row r="28" ht="45.0" customHeight="1">
      <c r="A28" s="153"/>
      <c r="B28" s="93"/>
      <c r="C28" s="93"/>
      <c r="D28" s="93"/>
      <c r="E28" s="93"/>
      <c r="F28" s="93"/>
      <c r="G28" s="93"/>
      <c r="H28" s="9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</row>
    <row r="29" ht="45.0" customHeight="1">
      <c r="A29" s="153"/>
      <c r="B29" s="93"/>
      <c r="C29" s="93"/>
      <c r="D29" s="93"/>
      <c r="E29" s="93"/>
      <c r="F29" s="93"/>
      <c r="G29" s="93"/>
      <c r="H29" s="9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</row>
    <row r="30" ht="45.0" customHeight="1">
      <c r="A30" s="153"/>
      <c r="B30" s="169"/>
      <c r="C30" s="93"/>
      <c r="D30" s="93"/>
      <c r="E30" s="93"/>
      <c r="F30" s="93"/>
      <c r="G30" s="93"/>
      <c r="H30" s="9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</row>
    <row r="31" ht="28.5" customHeight="1">
      <c r="A31" s="153"/>
      <c r="B31" s="93"/>
      <c r="C31" s="93"/>
      <c r="D31" s="93"/>
      <c r="E31" s="93"/>
      <c r="F31" s="93"/>
      <c r="G31" s="93"/>
      <c r="H31" s="9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</row>
    <row r="32" ht="45.0" customHeight="1">
      <c r="A32" s="153"/>
      <c r="B32" s="93"/>
      <c r="C32" s="93"/>
      <c r="D32" s="93"/>
      <c r="E32" s="93"/>
      <c r="F32" s="93"/>
      <c r="G32" s="93"/>
      <c r="H32" s="9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</row>
    <row r="33" ht="15.75" customHeight="1">
      <c r="A33" s="153"/>
      <c r="B33" s="170"/>
      <c r="C33" s="170"/>
      <c r="D33" s="170"/>
      <c r="E33" s="170"/>
      <c r="F33" s="170"/>
      <c r="G33" s="170"/>
      <c r="H33" s="170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</row>
    <row r="34" ht="15.75" customHeight="1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</row>
    <row r="35" ht="15.75" customHeight="1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</row>
    <row r="36" ht="15.75" customHeight="1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</row>
    <row r="37" ht="15.75" customHeight="1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</row>
    <row r="38" ht="15.75" customHeight="1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</row>
    <row r="39" ht="15.75" customHeight="1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</row>
    <row r="40" ht="15.75" customHeight="1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</row>
    <row r="41" ht="15.75" customHeight="1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</row>
    <row r="42" ht="15.75" customHeight="1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</row>
    <row r="43" ht="15.75" customHeight="1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</row>
    <row r="44" ht="15.75" customHeight="1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</row>
    <row r="45" ht="15.75" customHeight="1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</row>
    <row r="46" ht="15.75" customHeight="1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</row>
    <row r="47" ht="15.75" customHeight="1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</row>
    <row r="48" ht="15.75" customHeight="1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</row>
    <row r="49" ht="15.75" customHeight="1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</row>
    <row r="50" ht="15.75" customHeight="1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</row>
    <row r="51" ht="15.75" customHeight="1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</row>
    <row r="52" ht="15.75" customHeight="1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ht="15.75" customHeight="1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ht="15.75" customHeight="1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</row>
    <row r="55" ht="15.75" customHeigh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</row>
    <row r="56" ht="15.75" customHeight="1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</row>
    <row r="57" ht="15.75" customHeight="1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</row>
    <row r="58" ht="15.75" customHeight="1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</row>
    <row r="59" ht="15.75" customHeight="1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</row>
    <row r="60" ht="15.75" customHeight="1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</row>
    <row r="61" ht="15.75" customHeight="1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</row>
    <row r="62" ht="15.75" customHeight="1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</row>
    <row r="63" ht="15.75" customHeight="1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</row>
    <row r="64" ht="15.75" customHeight="1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</row>
    <row r="65" ht="15.75" customHeight="1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</row>
    <row r="66" ht="15.75" customHeight="1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</row>
    <row r="67" ht="15.75" customHeight="1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</row>
    <row r="68" ht="15.75" customHeight="1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</row>
    <row r="69" ht="15.75" customHeight="1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</row>
    <row r="70" ht="15.75" customHeight="1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</row>
    <row r="71" ht="15.75" customHeight="1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</row>
    <row r="72" ht="15.75" customHeight="1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</row>
    <row r="73" ht="15.75" customHeight="1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</row>
    <row r="74" ht="15.75" customHeight="1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</row>
    <row r="75" ht="15.75" customHeight="1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</row>
    <row r="76" ht="15.75" customHeight="1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</row>
    <row r="77" ht="15.75" customHeight="1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</row>
    <row r="78" ht="15.75" customHeight="1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</row>
    <row r="79" ht="15.75" customHeight="1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</row>
    <row r="80" ht="15.75" customHeight="1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</row>
    <row r="81" ht="15.75" customHeight="1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</row>
    <row r="82" ht="15.75" customHeight="1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</row>
    <row r="83" ht="15.75" customHeight="1">
      <c r="A83" s="153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</row>
    <row r="84" ht="15.75" customHeight="1">
      <c r="A84" s="153"/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</row>
    <row r="85" ht="15.75" customHeight="1">
      <c r="A85" s="153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</row>
    <row r="86" ht="15.75" customHeight="1">
      <c r="A86" s="153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</row>
    <row r="87" ht="15.75" customHeight="1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</row>
    <row r="88" ht="15.75" customHeight="1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</row>
    <row r="89" ht="15.75" customHeight="1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</row>
    <row r="90" ht="15.75" customHeight="1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</row>
    <row r="91" ht="15.75" customHeight="1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</row>
    <row r="92" ht="15.75" customHeight="1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</row>
    <row r="93" ht="15.75" customHeight="1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</row>
    <row r="94" ht="15.75" customHeight="1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</row>
    <row r="95" ht="15.75" customHeight="1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</row>
    <row r="96" ht="15.75" customHeight="1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</row>
    <row r="97" ht="15.75" customHeight="1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</row>
    <row r="98" ht="15.75" customHeight="1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</row>
    <row r="99" ht="15.75" customHeight="1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</row>
    <row r="100" ht="15.75" customHeight="1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</row>
    <row r="101" ht="15.75" customHeight="1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</row>
    <row r="102" ht="15.75" customHeight="1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</row>
    <row r="103" ht="15.75" customHeight="1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</row>
    <row r="104" ht="15.75" customHeight="1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</row>
    <row r="105" ht="15.75" customHeight="1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</row>
    <row r="106" ht="15.75" customHeight="1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</row>
    <row r="107" ht="15.75" customHeight="1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</row>
    <row r="108" ht="15.75" customHeight="1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</row>
    <row r="109" ht="15.75" customHeight="1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</row>
    <row r="110" ht="15.75" customHeight="1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</row>
    <row r="111" ht="15.75" customHeight="1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</row>
    <row r="112" ht="15.75" customHeight="1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</row>
    <row r="113" ht="15.75" customHeight="1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</row>
    <row r="114" ht="15.75" customHeight="1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</row>
    <row r="115" ht="15.75" customHeight="1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</row>
    <row r="116" ht="15.75" customHeight="1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</row>
    <row r="117" ht="15.75" customHeight="1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</row>
    <row r="118" ht="15.75" customHeight="1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</row>
    <row r="119" ht="15.75" customHeight="1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</row>
    <row r="120" ht="15.75" customHeight="1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</row>
    <row r="121" ht="15.75" customHeight="1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</row>
    <row r="122" ht="15.75" customHeight="1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</row>
    <row r="123" ht="15.75" customHeight="1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</row>
    <row r="124" ht="15.75" customHeight="1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</row>
    <row r="125" ht="15.75" customHeight="1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</row>
    <row r="126" ht="15.75" customHeight="1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</row>
    <row r="127" ht="15.75" customHeight="1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</row>
    <row r="128" ht="15.75" customHeight="1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</row>
    <row r="129" ht="15.75" customHeight="1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</row>
    <row r="130" ht="15.75" customHeight="1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</row>
    <row r="131" ht="15.75" customHeight="1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</row>
    <row r="132" ht="15.75" customHeight="1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</row>
    <row r="133" ht="15.75" customHeight="1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</row>
    <row r="134" ht="15.75" customHeight="1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</row>
    <row r="135" ht="15.75" customHeight="1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</row>
    <row r="136" ht="15.75" customHeight="1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</row>
    <row r="137" ht="15.75" customHeight="1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</row>
    <row r="138" ht="15.75" customHeight="1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</row>
    <row r="139" ht="15.75" customHeight="1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</row>
    <row r="140" ht="15.75" customHeight="1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</row>
    <row r="141" ht="15.75" customHeight="1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</row>
    <row r="142" ht="15.75" customHeight="1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</row>
    <row r="143" ht="15.75" customHeight="1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</row>
    <row r="144" ht="15.75" customHeight="1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</row>
    <row r="145" ht="15.75" customHeight="1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</row>
    <row r="146" ht="15.75" customHeight="1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</row>
    <row r="147" ht="15.75" customHeight="1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</row>
    <row r="148" ht="15.75" customHeight="1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</row>
    <row r="149" ht="15.75" customHeight="1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</row>
    <row r="150" ht="15.75" customHeight="1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</row>
    <row r="151" ht="15.75" customHeight="1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</row>
    <row r="152" ht="15.75" customHeight="1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</row>
    <row r="153" ht="15.75" customHeight="1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</row>
    <row r="154" ht="15.75" customHeight="1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</row>
    <row r="155" ht="15.75" customHeight="1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</row>
    <row r="156" ht="15.75" customHeight="1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</row>
    <row r="157" ht="15.75" customHeight="1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</row>
    <row r="158" ht="15.75" customHeight="1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  <c r="U158" s="153"/>
    </row>
    <row r="159" ht="15.75" customHeight="1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</row>
    <row r="160" ht="15.75" customHeight="1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</row>
    <row r="161" ht="15.75" customHeight="1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  <c r="U161" s="153"/>
    </row>
    <row r="162" ht="15.75" customHeight="1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</row>
    <row r="163" ht="15.75" customHeight="1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</row>
    <row r="164" ht="15.75" customHeight="1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</row>
    <row r="165" ht="15.75" customHeight="1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</row>
    <row r="166" ht="15.75" customHeight="1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</row>
    <row r="167" ht="15.75" customHeight="1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</row>
    <row r="168" ht="15.75" customHeight="1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</row>
    <row r="169" ht="15.75" customHeight="1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</row>
    <row r="170" ht="15.75" customHeight="1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</row>
    <row r="171" ht="15.75" customHeight="1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  <c r="U171" s="153"/>
    </row>
    <row r="172" ht="15.75" customHeight="1">
      <c r="A172" s="153"/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  <c r="P172" s="153"/>
      <c r="Q172" s="153"/>
      <c r="R172" s="153"/>
      <c r="S172" s="153"/>
      <c r="T172" s="153"/>
      <c r="U172" s="153"/>
    </row>
    <row r="173" ht="15.75" customHeight="1">
      <c r="A173" s="153"/>
      <c r="B173" s="153"/>
      <c r="C173" s="153"/>
      <c r="D173" s="153"/>
      <c r="E173" s="153"/>
      <c r="F173" s="153"/>
      <c r="G173" s="153"/>
      <c r="H173" s="153"/>
      <c r="I173" s="153"/>
      <c r="J173" s="153"/>
      <c r="K173" s="153"/>
      <c r="L173" s="153"/>
      <c r="M173" s="153"/>
      <c r="N173" s="153"/>
      <c r="O173" s="153"/>
      <c r="P173" s="153"/>
      <c r="Q173" s="153"/>
      <c r="R173" s="153"/>
      <c r="S173" s="153"/>
      <c r="T173" s="153"/>
      <c r="U173" s="153"/>
    </row>
    <row r="174" ht="15.75" customHeight="1">
      <c r="A174" s="153"/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</row>
    <row r="175" ht="15.75" customHeight="1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</row>
    <row r="176" ht="15.75" customHeight="1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  <c r="N176" s="153"/>
      <c r="O176" s="153"/>
      <c r="P176" s="153"/>
      <c r="Q176" s="153"/>
      <c r="R176" s="153"/>
      <c r="S176" s="153"/>
      <c r="T176" s="153"/>
      <c r="U176" s="153"/>
    </row>
    <row r="177" ht="15.75" customHeight="1">
      <c r="A177" s="153"/>
      <c r="B177" s="153"/>
      <c r="C177" s="153"/>
      <c r="D177" s="153"/>
      <c r="E177" s="153"/>
      <c r="F177" s="153"/>
      <c r="G177" s="153"/>
      <c r="H177" s="153"/>
      <c r="I177" s="153"/>
      <c r="J177" s="153"/>
      <c r="K177" s="153"/>
      <c r="L177" s="153"/>
      <c r="M177" s="153"/>
      <c r="N177" s="153"/>
      <c r="O177" s="153"/>
      <c r="P177" s="153"/>
      <c r="Q177" s="153"/>
      <c r="R177" s="153"/>
      <c r="S177" s="153"/>
      <c r="T177" s="153"/>
      <c r="U177" s="153"/>
    </row>
    <row r="178" ht="15.75" customHeight="1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153"/>
      <c r="O178" s="153"/>
      <c r="P178" s="153"/>
      <c r="Q178" s="153"/>
      <c r="R178" s="153"/>
      <c r="S178" s="153"/>
      <c r="T178" s="153"/>
      <c r="U178" s="153"/>
    </row>
    <row r="179" ht="15.75" customHeight="1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</row>
    <row r="180" ht="15.75" customHeight="1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</row>
    <row r="181" ht="15.75" customHeight="1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</row>
    <row r="182" ht="15.75" customHeight="1">
      <c r="A182" s="153"/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O182" s="153"/>
      <c r="P182" s="153"/>
      <c r="Q182" s="153"/>
      <c r="R182" s="153"/>
      <c r="S182" s="153"/>
      <c r="T182" s="153"/>
      <c r="U182" s="153"/>
    </row>
    <row r="183" ht="15.75" customHeight="1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</row>
    <row r="184" ht="15.75" customHeight="1">
      <c r="A184" s="153"/>
      <c r="B184" s="153"/>
      <c r="C184" s="153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  <c r="O184" s="153"/>
      <c r="P184" s="153"/>
      <c r="Q184" s="153"/>
      <c r="R184" s="153"/>
      <c r="S184" s="153"/>
      <c r="T184" s="153"/>
      <c r="U184" s="153"/>
    </row>
    <row r="185" ht="15.75" customHeight="1">
      <c r="A185" s="153"/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3"/>
      <c r="Q185" s="153"/>
      <c r="R185" s="153"/>
      <c r="S185" s="153"/>
      <c r="T185" s="153"/>
      <c r="U185" s="153"/>
    </row>
    <row r="186" ht="15.75" customHeight="1">
      <c r="A186" s="153"/>
      <c r="B186" s="153"/>
      <c r="C186" s="153"/>
      <c r="D186" s="153"/>
      <c r="E186" s="153"/>
      <c r="F186" s="153"/>
      <c r="G186" s="153"/>
      <c r="H186" s="153"/>
      <c r="I186" s="153"/>
      <c r="J186" s="153"/>
      <c r="K186" s="153"/>
      <c r="L186" s="153"/>
      <c r="M186" s="153"/>
      <c r="N186" s="153"/>
      <c r="O186" s="153"/>
      <c r="P186" s="153"/>
      <c r="Q186" s="153"/>
      <c r="R186" s="153"/>
      <c r="S186" s="153"/>
      <c r="T186" s="153"/>
      <c r="U186" s="153"/>
    </row>
    <row r="187" ht="15.75" customHeight="1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153"/>
      <c r="O187" s="153"/>
      <c r="P187" s="153"/>
      <c r="Q187" s="153"/>
      <c r="R187" s="153"/>
      <c r="S187" s="153"/>
      <c r="T187" s="153"/>
      <c r="U187" s="153"/>
    </row>
    <row r="188" ht="15.75" customHeight="1">
      <c r="A188" s="153"/>
      <c r="B188" s="153"/>
      <c r="C188" s="153"/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3"/>
      <c r="T188" s="153"/>
      <c r="U188" s="153"/>
    </row>
    <row r="189" ht="15.75" customHeight="1">
      <c r="A189" s="153"/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</row>
    <row r="190" ht="15.75" customHeight="1">
      <c r="A190" s="153"/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</row>
    <row r="191" ht="15.75" customHeight="1">
      <c r="A191" s="153"/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</row>
    <row r="192" ht="15.75" customHeight="1">
      <c r="A192" s="153"/>
      <c r="B192" s="153"/>
      <c r="C192" s="153"/>
      <c r="D192" s="153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</row>
    <row r="193" ht="15.75" customHeight="1">
      <c r="A193" s="153"/>
      <c r="B193" s="153"/>
      <c r="C193" s="153"/>
      <c r="D193" s="153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</row>
    <row r="194" ht="15.75" customHeight="1">
      <c r="A194" s="153"/>
      <c r="B194" s="153"/>
      <c r="C194" s="153"/>
      <c r="D194" s="153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</row>
    <row r="195" ht="15.75" customHeight="1">
      <c r="A195" s="153"/>
      <c r="B195" s="153"/>
      <c r="C195" s="153"/>
      <c r="D195" s="153"/>
      <c r="E195" s="153"/>
      <c r="F195" s="153"/>
      <c r="G195" s="153"/>
      <c r="H195" s="153"/>
      <c r="I195" s="153"/>
      <c r="J195" s="153"/>
      <c r="K195" s="153"/>
      <c r="L195" s="153"/>
      <c r="M195" s="153"/>
      <c r="N195" s="153"/>
      <c r="O195" s="153"/>
      <c r="P195" s="153"/>
      <c r="Q195" s="153"/>
      <c r="R195" s="153"/>
      <c r="S195" s="153"/>
      <c r="T195" s="153"/>
      <c r="U195" s="153"/>
    </row>
    <row r="196" ht="15.75" customHeight="1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  <c r="K196" s="153"/>
      <c r="L196" s="153"/>
      <c r="M196" s="153"/>
      <c r="N196" s="153"/>
      <c r="O196" s="153"/>
      <c r="P196" s="153"/>
      <c r="Q196" s="153"/>
      <c r="R196" s="153"/>
      <c r="S196" s="153"/>
      <c r="T196" s="153"/>
      <c r="U196" s="153"/>
    </row>
    <row r="197" ht="15.75" customHeight="1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53"/>
      <c r="Q197" s="153"/>
      <c r="R197" s="153"/>
      <c r="S197" s="153"/>
      <c r="T197" s="153"/>
      <c r="U197" s="153"/>
    </row>
    <row r="198" ht="15.75" customHeight="1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</row>
    <row r="199" ht="15.75" customHeight="1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  <c r="K199" s="153"/>
      <c r="L199" s="153"/>
      <c r="M199" s="153"/>
      <c r="N199" s="153"/>
      <c r="O199" s="153"/>
      <c r="P199" s="153"/>
      <c r="Q199" s="153"/>
      <c r="R199" s="153"/>
      <c r="S199" s="153"/>
      <c r="T199" s="153"/>
      <c r="U199" s="153"/>
    </row>
    <row r="200" ht="15.75" customHeight="1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</row>
    <row r="201" ht="15.75" customHeight="1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53"/>
      <c r="U201" s="153"/>
    </row>
    <row r="202" ht="15.75" customHeight="1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</row>
    <row r="203" ht="15.75" customHeight="1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  <c r="K203" s="153"/>
      <c r="L203" s="153"/>
      <c r="M203" s="153"/>
      <c r="N203" s="153"/>
      <c r="O203" s="153"/>
      <c r="P203" s="153"/>
      <c r="Q203" s="153"/>
      <c r="R203" s="153"/>
      <c r="S203" s="153"/>
      <c r="T203" s="153"/>
      <c r="U203" s="153"/>
    </row>
    <row r="204" ht="15.75" customHeight="1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153"/>
      <c r="O204" s="153"/>
      <c r="P204" s="153"/>
      <c r="Q204" s="153"/>
      <c r="R204" s="153"/>
      <c r="S204" s="153"/>
      <c r="T204" s="153"/>
      <c r="U204" s="153"/>
    </row>
    <row r="205" ht="15.75" customHeight="1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</row>
    <row r="206" ht="15.75" customHeight="1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</row>
    <row r="207" ht="15.75" customHeight="1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</row>
    <row r="208" ht="15.75" customHeight="1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153"/>
      <c r="R208" s="153"/>
      <c r="S208" s="153"/>
      <c r="T208" s="153"/>
      <c r="U208" s="153"/>
    </row>
    <row r="209" ht="15.75" customHeight="1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  <c r="Q209" s="153"/>
      <c r="R209" s="153"/>
      <c r="S209" s="153"/>
      <c r="T209" s="153"/>
      <c r="U209" s="153"/>
    </row>
    <row r="210" ht="15.75" customHeight="1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153"/>
      <c r="O210" s="153"/>
      <c r="P210" s="153"/>
      <c r="Q210" s="153"/>
      <c r="R210" s="153"/>
      <c r="S210" s="153"/>
      <c r="T210" s="153"/>
      <c r="U210" s="153"/>
    </row>
    <row r="211" ht="15.75" customHeight="1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  <c r="K211" s="153"/>
      <c r="L211" s="153"/>
      <c r="M211" s="153"/>
      <c r="N211" s="153"/>
      <c r="O211" s="153"/>
      <c r="P211" s="153"/>
      <c r="Q211" s="153"/>
      <c r="R211" s="153"/>
      <c r="S211" s="153"/>
      <c r="T211" s="153"/>
      <c r="U211" s="153"/>
    </row>
    <row r="212" ht="15.75" customHeight="1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  <c r="K212" s="153"/>
      <c r="L212" s="153"/>
      <c r="M212" s="153"/>
      <c r="N212" s="153"/>
      <c r="O212" s="153"/>
      <c r="P212" s="153"/>
      <c r="Q212" s="153"/>
      <c r="R212" s="153"/>
      <c r="S212" s="153"/>
      <c r="T212" s="153"/>
      <c r="U212" s="153"/>
    </row>
    <row r="213" ht="15.75" customHeight="1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</row>
    <row r="214" ht="15.75" customHeight="1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</row>
    <row r="215" ht="15.75" customHeight="1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</row>
    <row r="216" ht="15.75" customHeight="1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153"/>
      <c r="R216" s="153"/>
      <c r="S216" s="153"/>
      <c r="T216" s="153"/>
      <c r="U216" s="153"/>
    </row>
    <row r="217" ht="15.75" customHeight="1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  <c r="O217" s="153"/>
      <c r="P217" s="153"/>
      <c r="Q217" s="153"/>
      <c r="R217" s="153"/>
      <c r="S217" s="153"/>
      <c r="T217" s="153"/>
      <c r="U217" s="153"/>
    </row>
    <row r="218" ht="15.75" customHeight="1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  <c r="K218" s="153"/>
      <c r="L218" s="153"/>
      <c r="M218" s="153"/>
      <c r="N218" s="153"/>
      <c r="O218" s="153"/>
      <c r="P218" s="153"/>
      <c r="Q218" s="153"/>
      <c r="R218" s="153"/>
      <c r="S218" s="153"/>
      <c r="T218" s="153"/>
      <c r="U218" s="153"/>
    </row>
    <row r="219" ht="15.75" customHeight="1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  <c r="K219" s="153"/>
      <c r="L219" s="153"/>
      <c r="M219" s="153"/>
      <c r="N219" s="153"/>
      <c r="O219" s="153"/>
      <c r="P219" s="153"/>
      <c r="Q219" s="153"/>
      <c r="R219" s="153"/>
      <c r="S219" s="153"/>
      <c r="T219" s="153"/>
      <c r="U219" s="153"/>
    </row>
    <row r="220" ht="15.75" customHeight="1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153"/>
      <c r="R220" s="153"/>
      <c r="S220" s="153"/>
      <c r="T220" s="153"/>
      <c r="U220" s="15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H1"/>
    <mergeCell ref="B12:H12"/>
    <mergeCell ref="B23:H2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